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drawings/drawing6.xml" ContentType="application/vnd.openxmlformats-officedocument.drawing+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drawings/drawing7.xml" ContentType="application/vnd.openxmlformats-officedocument.drawing+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chart16.xml" ContentType="application/vnd.openxmlformats-officedocument.drawingml.chart+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P:\stats\ESH\Working Files\Housing\Housing Need\Housing Need and Demand 2018 Project\Publication Docs\Phase 2\"/>
    </mc:Choice>
  </mc:AlternateContent>
  <bookViews>
    <workbookView xWindow="360" yWindow="120" windowWidth="13395" windowHeight="6180" tabRatio="918"/>
  </bookViews>
  <sheets>
    <sheet name="Tudalen Flaen" sheetId="1" r:id="rId1"/>
    <sheet name="Canllawiau ar Newidynnau" sheetId="21" r:id="rId2"/>
    <sheet name="Cyngor" sheetId="45" r:id="rId3"/>
    <sheet name="Rhaniad y Ddeiliadaeth (Cymru)" sheetId="18" r:id="rId4"/>
    <sheet name="Rhaniad y Ddeiliadaeth (Gog)" sheetId="33" r:id="rId5"/>
    <sheet name="Rhaniad y Ddeiliadaeth (C&amp;De-o)" sheetId="41" r:id="rId6"/>
    <sheet name="Rhaniad y Ddeiliadaeth (De-ddn)" sheetId="42" r:id="rId7"/>
    <sheet name="Cyfrifiadau - Cymru" sheetId="17" r:id="rId8"/>
    <sheet name="Cyfrifiadau - Gogledd" sheetId="34" r:id="rId9"/>
    <sheet name="Cyfrifiadau - Canol. &amp; De-orll" sheetId="39" r:id="rId10"/>
    <sheet name="Cyfrifiadau - De-ddwyrain" sheetId="40" r:id="rId11"/>
    <sheet name="Amcanestyniadau o Aelwyd" sheetId="23" r:id="rId12"/>
    <sheet name="Rhagdybiaeth Blynyddol" sheetId="25" r:id="rId13"/>
    <sheet name="Rhagolygon y Dyfodol" sheetId="22" r:id="rId14"/>
    <sheet name="Angen Presennol Nas Diwallwyd" sheetId="7" r:id="rId15"/>
    <sheet name="Prisiau Rhenti" sheetId="27" r:id="rId16"/>
    <sheet name="Incwm (Cymru)" sheetId="10" r:id="rId17"/>
    <sheet name="Incwm (Gogledd)" sheetId="30" r:id="rId18"/>
    <sheet name="Incwm (Canol. &amp; De-orll)" sheetId="31" r:id="rId19"/>
    <sheet name="Incwm (De-ddwyrain)" sheetId="32" r:id="rId20"/>
    <sheet name="Prisiau Tai (Cymru)" sheetId="26" r:id="rId21"/>
    <sheet name="Prisiau Tai (Gogledd)" sheetId="36" r:id="rId22"/>
    <sheet name="Prisiau Tai (Canol. &amp; De-orll)" sheetId="37" r:id="rId23"/>
    <sheet name="Prisiau Tai (De-ddwyrain)" sheetId="38" r:id="rId24"/>
    <sheet name="Angen Sydd Newydd Ymddangos" sheetId="24" r:id="rId25"/>
    <sheet name="Map Rhanbarthol" sheetId="44" r:id="rId26"/>
  </sheets>
  <definedNames>
    <definedName name="_xlnm._FilterDatabase" localSheetId="3" hidden="1">'Rhaniad y Ddeiliadaeth (Cymru)'!$B$4:$I$25</definedName>
  </definedNames>
  <calcPr calcId="162913"/>
</workbook>
</file>

<file path=xl/calcChain.xml><?xml version="1.0" encoding="utf-8"?>
<calcChain xmlns="http://schemas.openxmlformats.org/spreadsheetml/2006/main">
  <c r="J4" i="32" l="1"/>
  <c r="J5" i="32" s="1"/>
  <c r="J4" i="31"/>
  <c r="J5" i="31" s="1"/>
  <c r="J4" i="30"/>
  <c r="J5" i="30" s="1"/>
  <c r="J4" i="10"/>
  <c r="J5" i="10" s="1"/>
  <c r="O4" i="31" l="1"/>
  <c r="O4" i="32"/>
  <c r="J7" i="10"/>
  <c r="J7" i="32"/>
  <c r="J7" i="30"/>
  <c r="J7" i="31"/>
  <c r="O4" i="10"/>
  <c r="O4" i="30"/>
  <c r="J4" i="38"/>
  <c r="J4" i="37"/>
  <c r="J4" i="36"/>
  <c r="J4" i="26"/>
  <c r="F7" i="42"/>
  <c r="B201" i="42"/>
  <c r="B200" i="42"/>
  <c r="B201" i="41"/>
  <c r="B200" i="41"/>
  <c r="B201" i="33"/>
  <c r="B200" i="33"/>
  <c r="C28" i="7"/>
  <c r="C12" i="17" s="1"/>
  <c r="I22" i="23"/>
  <c r="H22" i="23"/>
  <c r="G22" i="23"/>
  <c r="F22" i="23"/>
  <c r="E22" i="23"/>
  <c r="D22" i="23"/>
  <c r="I18" i="23"/>
  <c r="H18" i="23"/>
  <c r="G18" i="23"/>
  <c r="F18" i="23"/>
  <c r="E18" i="23"/>
  <c r="D18" i="23"/>
  <c r="I14" i="23"/>
  <c r="H14" i="23"/>
  <c r="G14" i="23"/>
  <c r="F14" i="23"/>
  <c r="E14" i="23"/>
  <c r="D14" i="23"/>
  <c r="I10" i="23"/>
  <c r="H10" i="23"/>
  <c r="G10" i="23"/>
  <c r="F10" i="23"/>
  <c r="E10" i="23"/>
  <c r="D10" i="23"/>
  <c r="E6" i="23"/>
  <c r="F6" i="23"/>
  <c r="G6" i="23"/>
  <c r="H6" i="23"/>
  <c r="I6" i="23"/>
  <c r="D6" i="23"/>
  <c r="O4" i="38" l="1"/>
  <c r="J5" i="38"/>
  <c r="J7" i="38"/>
  <c r="J5" i="26"/>
  <c r="O4" i="26"/>
  <c r="J7" i="26"/>
  <c r="J5" i="37"/>
  <c r="O4" i="37"/>
  <c r="J7" i="37"/>
  <c r="J7" i="36"/>
  <c r="J5" i="36"/>
  <c r="O4" i="36"/>
  <c r="C170" i="18"/>
  <c r="D114" i="18" l="1"/>
  <c r="D117" i="18"/>
  <c r="E117" i="18"/>
  <c r="E114" i="18"/>
  <c r="F114" i="18"/>
  <c r="F117" i="18"/>
  <c r="G117" i="18"/>
  <c r="G114" i="18"/>
  <c r="G108" i="18"/>
  <c r="F108" i="18"/>
  <c r="E108" i="18"/>
  <c r="D108" i="18"/>
  <c r="C108" i="18"/>
  <c r="C117" i="18"/>
  <c r="C114" i="18"/>
  <c r="C181" i="18"/>
  <c r="C182" i="18"/>
  <c r="C183" i="18"/>
  <c r="C184" i="18"/>
  <c r="C172" i="18"/>
  <c r="C174" i="18"/>
  <c r="C173" i="18"/>
  <c r="C169" i="42"/>
  <c r="C169" i="33"/>
  <c r="C169" i="41"/>
  <c r="B151" i="33"/>
  <c r="D169" i="42" l="1"/>
  <c r="D169" i="41"/>
  <c r="D169" i="33"/>
  <c r="B204" i="42"/>
  <c r="B203" i="42"/>
  <c r="B202" i="42"/>
  <c r="B199" i="42"/>
  <c r="B198" i="42"/>
  <c r="B204" i="41"/>
  <c r="B203" i="41"/>
  <c r="B202" i="41"/>
  <c r="B199" i="41"/>
  <c r="B198" i="41"/>
  <c r="B204" i="33"/>
  <c r="B203" i="33"/>
  <c r="B202" i="33"/>
  <c r="B199" i="33"/>
  <c r="B198" i="33"/>
  <c r="C178" i="18"/>
  <c r="C179" i="18"/>
  <c r="C171" i="18"/>
  <c r="F25" i="18" l="1"/>
  <c r="J27" i="22" s="1"/>
  <c r="F23" i="18"/>
  <c r="E21" i="25" s="1"/>
  <c r="F21" i="18"/>
  <c r="E16" i="25" s="1"/>
  <c r="F20" i="18"/>
  <c r="E12" i="25" s="1"/>
  <c r="F14" i="18"/>
  <c r="J11" i="22" s="1"/>
  <c r="F12" i="18"/>
  <c r="D24" i="7" s="1"/>
  <c r="F11" i="18"/>
  <c r="E9" i="25" s="1"/>
  <c r="F9" i="18"/>
  <c r="F7" i="18"/>
  <c r="F6" i="18"/>
  <c r="E6" i="18" s="1"/>
  <c r="D21" i="7" l="1"/>
  <c r="E7" i="18"/>
  <c r="E10" i="27"/>
  <c r="E9" i="18"/>
  <c r="B204" i="18"/>
  <c r="B203" i="18"/>
  <c r="B202" i="18"/>
  <c r="B201" i="18"/>
  <c r="B200" i="18"/>
  <c r="B199" i="18"/>
  <c r="B198" i="18"/>
  <c r="F22" i="18"/>
  <c r="E18" i="25" s="1"/>
  <c r="M3" i="10" l="1"/>
  <c r="M3" i="30"/>
  <c r="M3" i="31"/>
  <c r="M3" i="32"/>
  <c r="M3" i="26"/>
  <c r="M3" i="36"/>
  <c r="M3" i="37"/>
  <c r="D15" i="33" l="1"/>
  <c r="C182" i="33" s="1"/>
  <c r="J23" i="23" l="1"/>
  <c r="N5" i="30" l="1"/>
  <c r="N6" i="30"/>
  <c r="N7" i="30"/>
  <c r="N8" i="30"/>
  <c r="N9" i="30"/>
  <c r="N10" i="30"/>
  <c r="N11" i="30"/>
  <c r="N12" i="30"/>
  <c r="N13" i="30"/>
  <c r="N14" i="30"/>
  <c r="N15" i="30"/>
  <c r="N16" i="30"/>
  <c r="N17" i="30"/>
  <c r="N18" i="30"/>
  <c r="N19" i="30"/>
  <c r="N20" i="30"/>
  <c r="N21" i="30"/>
  <c r="N22" i="30"/>
  <c r="N23" i="30"/>
  <c r="N24" i="30"/>
  <c r="N25" i="30"/>
  <c r="N26" i="30"/>
  <c r="N27" i="30"/>
  <c r="N28" i="30"/>
  <c r="N29" i="30"/>
  <c r="N30" i="30"/>
  <c r="N31" i="30"/>
  <c r="N32" i="30"/>
  <c r="N33" i="30"/>
  <c r="N34" i="30"/>
  <c r="N35" i="30"/>
  <c r="N36" i="30"/>
  <c r="N37" i="30"/>
  <c r="N38" i="30"/>
  <c r="N39" i="30"/>
  <c r="N40" i="30"/>
  <c r="N41" i="30"/>
  <c r="N42" i="30"/>
  <c r="N43" i="30"/>
  <c r="N44" i="30"/>
  <c r="N45" i="30"/>
  <c r="N46" i="30"/>
  <c r="N47" i="30"/>
  <c r="N48" i="30"/>
  <c r="N49" i="30"/>
  <c r="N50" i="30"/>
  <c r="N51" i="30"/>
  <c r="N52" i="30"/>
  <c r="N53" i="30"/>
  <c r="N54" i="30"/>
  <c r="N55" i="30"/>
  <c r="N56" i="30"/>
  <c r="N57" i="30"/>
  <c r="N58" i="30"/>
  <c r="N59" i="30"/>
  <c r="N60" i="30"/>
  <c r="N61" i="30"/>
  <c r="N62" i="30"/>
  <c r="N63" i="30"/>
  <c r="N64" i="30"/>
  <c r="N65" i="30"/>
  <c r="N66" i="30"/>
  <c r="N67" i="30"/>
  <c r="N68" i="30"/>
  <c r="N69" i="30"/>
  <c r="N70" i="30"/>
  <c r="N71" i="30"/>
  <c r="N72" i="30"/>
  <c r="N73" i="30"/>
  <c r="N74" i="30"/>
  <c r="N75" i="30"/>
  <c r="N76" i="30"/>
  <c r="N77" i="30"/>
  <c r="N78" i="30"/>
  <c r="N79" i="30"/>
  <c r="N80" i="30"/>
  <c r="N81" i="30"/>
  <c r="N82" i="30"/>
  <c r="N83" i="30"/>
  <c r="N84" i="30"/>
  <c r="N4" i="30"/>
  <c r="J26" i="23"/>
  <c r="K26" i="23" l="1"/>
  <c r="N85" i="30"/>
  <c r="D117" i="42" l="1"/>
  <c r="F117" i="41"/>
  <c r="G117" i="41"/>
  <c r="D108" i="42"/>
  <c r="E108" i="41"/>
  <c r="F108" i="33"/>
  <c r="D114" i="42"/>
  <c r="E114" i="42"/>
  <c r="F114" i="41"/>
  <c r="C114" i="42"/>
  <c r="C108" i="41" l="1"/>
  <c r="C178" i="41" s="1"/>
  <c r="C117" i="41"/>
  <c r="C179" i="41" s="1"/>
  <c r="D117" i="41"/>
  <c r="F114" i="42"/>
  <c r="F114" i="33"/>
  <c r="F117" i="33"/>
  <c r="F117" i="42"/>
  <c r="C114" i="41"/>
  <c r="D114" i="41"/>
  <c r="E108" i="42"/>
  <c r="E117" i="42"/>
  <c r="E117" i="33"/>
  <c r="E117" i="41"/>
  <c r="G114" i="41"/>
  <c r="G114" i="42"/>
  <c r="G114" i="33"/>
  <c r="G117" i="33"/>
  <c r="C117" i="33"/>
  <c r="C179" i="33" s="1"/>
  <c r="E114" i="41"/>
  <c r="G117" i="42"/>
  <c r="C117" i="42"/>
  <c r="C179" i="42" s="1"/>
  <c r="E114" i="33"/>
  <c r="C114" i="33"/>
  <c r="D114" i="33"/>
  <c r="D117" i="33"/>
  <c r="F108" i="41"/>
  <c r="G108" i="33"/>
  <c r="E108" i="33"/>
  <c r="D108" i="41"/>
  <c r="G108" i="42"/>
  <c r="C108" i="42"/>
  <c r="C178" i="42" s="1"/>
  <c r="C108" i="33"/>
  <c r="C178" i="33" s="1"/>
  <c r="D108" i="33"/>
  <c r="G108" i="41"/>
  <c r="F108" i="42"/>
  <c r="D25" i="42" l="1"/>
  <c r="C183" i="42" s="1"/>
  <c r="D23" i="42"/>
  <c r="D22" i="42"/>
  <c r="D21" i="42"/>
  <c r="D20" i="42"/>
  <c r="D18" i="42"/>
  <c r="D16" i="42"/>
  <c r="C184" i="42" s="1"/>
  <c r="D15" i="42"/>
  <c r="C182" i="42" s="1"/>
  <c r="D14" i="42"/>
  <c r="C181" i="42" s="1"/>
  <c r="D12" i="42"/>
  <c r="D11" i="42"/>
  <c r="D9" i="42"/>
  <c r="D8" i="42"/>
  <c r="C172" i="42" s="1"/>
  <c r="D7" i="42"/>
  <c r="D6" i="42"/>
  <c r="C170" i="42" l="1"/>
  <c r="F6" i="42"/>
  <c r="C173" i="42"/>
  <c r="C174" i="42"/>
  <c r="F9" i="42"/>
  <c r="E25" i="27" s="1"/>
  <c r="C171" i="42"/>
  <c r="D20" i="7"/>
  <c r="E7" i="42"/>
  <c r="C123" i="42" s="1"/>
  <c r="C175" i="42"/>
  <c r="C175" i="41"/>
  <c r="D25" i="41"/>
  <c r="C183" i="41" s="1"/>
  <c r="D23" i="41"/>
  <c r="D22" i="41"/>
  <c r="D21" i="41"/>
  <c r="D20" i="41"/>
  <c r="D18" i="41"/>
  <c r="D16" i="41"/>
  <c r="C184" i="41" s="1"/>
  <c r="D15" i="41"/>
  <c r="C182" i="41" s="1"/>
  <c r="D14" i="41"/>
  <c r="C181" i="41" s="1"/>
  <c r="D12" i="41"/>
  <c r="D11" i="41"/>
  <c r="D9" i="41"/>
  <c r="D8" i="41"/>
  <c r="D7" i="41"/>
  <c r="D19" i="7" s="1"/>
  <c r="D6" i="41"/>
  <c r="C170" i="41" s="1"/>
  <c r="T84" i="38"/>
  <c r="N84" i="38"/>
  <c r="L84" i="38"/>
  <c r="T83" i="38"/>
  <c r="N83" i="38"/>
  <c r="L83" i="38"/>
  <c r="T82" i="38"/>
  <c r="N82" i="38"/>
  <c r="L82" i="38"/>
  <c r="T81" i="38"/>
  <c r="N81" i="38"/>
  <c r="L81" i="38"/>
  <c r="T80" i="38"/>
  <c r="N80" i="38"/>
  <c r="L80" i="38"/>
  <c r="T79" i="38"/>
  <c r="N79" i="38"/>
  <c r="L79" i="38"/>
  <c r="T78" i="38"/>
  <c r="N78" i="38"/>
  <c r="L78" i="38"/>
  <c r="T77" i="38"/>
  <c r="N77" i="38"/>
  <c r="L77" i="38"/>
  <c r="T76" i="38"/>
  <c r="N76" i="38"/>
  <c r="L76" i="38"/>
  <c r="T75" i="38"/>
  <c r="N75" i="38"/>
  <c r="L75" i="38"/>
  <c r="T74" i="38"/>
  <c r="N74" i="38"/>
  <c r="L74" i="38"/>
  <c r="T73" i="38"/>
  <c r="N73" i="38"/>
  <c r="L73" i="38"/>
  <c r="T72" i="38"/>
  <c r="N72" i="38"/>
  <c r="L72" i="38"/>
  <c r="T71" i="38"/>
  <c r="N71" i="38"/>
  <c r="L71" i="38"/>
  <c r="T70" i="38"/>
  <c r="N70" i="38"/>
  <c r="L70" i="38"/>
  <c r="T69" i="38"/>
  <c r="N69" i="38"/>
  <c r="L69" i="38"/>
  <c r="T68" i="38"/>
  <c r="N68" i="38"/>
  <c r="L68" i="38"/>
  <c r="T67" i="38"/>
  <c r="N67" i="38"/>
  <c r="L67" i="38"/>
  <c r="T66" i="38"/>
  <c r="N66" i="38"/>
  <c r="L66" i="38"/>
  <c r="T65" i="38"/>
  <c r="N65" i="38"/>
  <c r="L65" i="38"/>
  <c r="T64" i="38"/>
  <c r="N64" i="38"/>
  <c r="L64" i="38"/>
  <c r="T63" i="38"/>
  <c r="N63" i="38"/>
  <c r="L63" i="38"/>
  <c r="T62" i="38"/>
  <c r="N62" i="38"/>
  <c r="L62" i="38"/>
  <c r="T61" i="38"/>
  <c r="N61" i="38"/>
  <c r="L61" i="38"/>
  <c r="T60" i="38"/>
  <c r="N60" i="38"/>
  <c r="L60" i="38"/>
  <c r="T59" i="38"/>
  <c r="N59" i="38"/>
  <c r="L59" i="38"/>
  <c r="T58" i="38"/>
  <c r="N58" i="38"/>
  <c r="L58" i="38"/>
  <c r="T57" i="38"/>
  <c r="N57" i="38"/>
  <c r="L57" i="38"/>
  <c r="T56" i="38"/>
  <c r="N56" i="38"/>
  <c r="L56" i="38"/>
  <c r="T55" i="38"/>
  <c r="N55" i="38"/>
  <c r="L55" i="38"/>
  <c r="T54" i="38"/>
  <c r="N54" i="38"/>
  <c r="L54" i="38"/>
  <c r="T53" i="38"/>
  <c r="N53" i="38"/>
  <c r="L53" i="38"/>
  <c r="T52" i="38"/>
  <c r="N52" i="38"/>
  <c r="L52" i="38"/>
  <c r="T51" i="38"/>
  <c r="N51" i="38"/>
  <c r="L51" i="38"/>
  <c r="T50" i="38"/>
  <c r="N50" i="38"/>
  <c r="L50" i="38"/>
  <c r="T49" i="38"/>
  <c r="N49" i="38"/>
  <c r="L49" i="38"/>
  <c r="T48" i="38"/>
  <c r="N48" i="38"/>
  <c r="L48" i="38"/>
  <c r="T47" i="38"/>
  <c r="N47" i="38"/>
  <c r="L47" i="38"/>
  <c r="T46" i="38"/>
  <c r="N46" i="38"/>
  <c r="L46" i="38"/>
  <c r="T45" i="38"/>
  <c r="N45" i="38"/>
  <c r="L45" i="38"/>
  <c r="T44" i="38"/>
  <c r="N44" i="38"/>
  <c r="L44" i="38"/>
  <c r="T43" i="38"/>
  <c r="N43" i="38"/>
  <c r="L43" i="38"/>
  <c r="T42" i="38"/>
  <c r="N42" i="38"/>
  <c r="L42" i="38"/>
  <c r="T41" i="38"/>
  <c r="N41" i="38"/>
  <c r="L41" i="38"/>
  <c r="T40" i="38"/>
  <c r="N40" i="38"/>
  <c r="L40" i="38"/>
  <c r="T39" i="38"/>
  <c r="N39" i="38"/>
  <c r="L39" i="38"/>
  <c r="T38" i="38"/>
  <c r="N38" i="38"/>
  <c r="L38" i="38"/>
  <c r="T37" i="38"/>
  <c r="N37" i="38"/>
  <c r="L37" i="38"/>
  <c r="T36" i="38"/>
  <c r="N36" i="38"/>
  <c r="L36" i="38"/>
  <c r="T35" i="38"/>
  <c r="N35" i="38"/>
  <c r="L35" i="38"/>
  <c r="T34" i="38"/>
  <c r="N34" i="38"/>
  <c r="L34" i="38"/>
  <c r="T33" i="38"/>
  <c r="N33" i="38"/>
  <c r="L33" i="38"/>
  <c r="T32" i="38"/>
  <c r="N32" i="38"/>
  <c r="L32" i="38"/>
  <c r="T31" i="38"/>
  <c r="N31" i="38"/>
  <c r="L31" i="38"/>
  <c r="T30" i="38"/>
  <c r="N30" i="38"/>
  <c r="L30" i="38"/>
  <c r="T29" i="38"/>
  <c r="N29" i="38"/>
  <c r="L29" i="38"/>
  <c r="T28" i="38"/>
  <c r="N28" i="38"/>
  <c r="L28" i="38"/>
  <c r="T27" i="38"/>
  <c r="N27" i="38"/>
  <c r="L27" i="38"/>
  <c r="T26" i="38"/>
  <c r="N26" i="38"/>
  <c r="L26" i="38"/>
  <c r="T25" i="38"/>
  <c r="N25" i="38"/>
  <c r="L25" i="38"/>
  <c r="T24" i="38"/>
  <c r="N24" i="38"/>
  <c r="L24" i="38"/>
  <c r="T23" i="38"/>
  <c r="N23" i="38"/>
  <c r="L23" i="38"/>
  <c r="T22" i="38"/>
  <c r="N22" i="38"/>
  <c r="L22" i="38"/>
  <c r="T21" i="38"/>
  <c r="N21" i="38"/>
  <c r="L21" i="38"/>
  <c r="T20" i="38"/>
  <c r="N20" i="38"/>
  <c r="L20" i="38"/>
  <c r="T19" i="38"/>
  <c r="N19" i="38"/>
  <c r="L19" i="38"/>
  <c r="T18" i="38"/>
  <c r="N18" i="38"/>
  <c r="L18" i="38"/>
  <c r="T17" i="38"/>
  <c r="N17" i="38"/>
  <c r="L17" i="38"/>
  <c r="T16" i="38"/>
  <c r="N16" i="38"/>
  <c r="L16" i="38"/>
  <c r="T15" i="38"/>
  <c r="N15" i="38"/>
  <c r="L15" i="38"/>
  <c r="T14" i="38"/>
  <c r="N14" i="38"/>
  <c r="L14" i="38"/>
  <c r="T13" i="38"/>
  <c r="N13" i="38"/>
  <c r="L13" i="38"/>
  <c r="T12" i="38"/>
  <c r="N12" i="38"/>
  <c r="L12" i="38"/>
  <c r="T11" i="38"/>
  <c r="N11" i="38"/>
  <c r="L11" i="38"/>
  <c r="T10" i="38"/>
  <c r="N10" i="38"/>
  <c r="L10" i="38"/>
  <c r="T9" i="38"/>
  <c r="N9" i="38"/>
  <c r="L9" i="38"/>
  <c r="T8" i="38"/>
  <c r="N8" i="38"/>
  <c r="L8" i="38"/>
  <c r="T7" i="38"/>
  <c r="N7" i="38"/>
  <c r="L7" i="38"/>
  <c r="T6" i="38"/>
  <c r="N6" i="38"/>
  <c r="L6" i="38"/>
  <c r="T5" i="38"/>
  <c r="N5" i="38"/>
  <c r="L5" i="38"/>
  <c r="T4" i="38"/>
  <c r="N4" i="38"/>
  <c r="L4" i="38"/>
  <c r="J9" i="38"/>
  <c r="M3" i="38"/>
  <c r="U64" i="38" s="1"/>
  <c r="T84" i="37"/>
  <c r="N84" i="37"/>
  <c r="L84" i="37"/>
  <c r="T83" i="37"/>
  <c r="N83" i="37"/>
  <c r="L83" i="37"/>
  <c r="T82" i="37"/>
  <c r="N82" i="37"/>
  <c r="L82" i="37"/>
  <c r="T81" i="37"/>
  <c r="N81" i="37"/>
  <c r="L81" i="37"/>
  <c r="T80" i="37"/>
  <c r="N80" i="37"/>
  <c r="L80" i="37"/>
  <c r="T79" i="37"/>
  <c r="N79" i="37"/>
  <c r="L79" i="37"/>
  <c r="T78" i="37"/>
  <c r="N78" i="37"/>
  <c r="L78" i="37"/>
  <c r="T77" i="37"/>
  <c r="N77" i="37"/>
  <c r="L77" i="37"/>
  <c r="T76" i="37"/>
  <c r="N76" i="37"/>
  <c r="L76" i="37"/>
  <c r="T75" i="37"/>
  <c r="N75" i="37"/>
  <c r="L75" i="37"/>
  <c r="T74" i="37"/>
  <c r="N74" i="37"/>
  <c r="L74" i="37"/>
  <c r="T73" i="37"/>
  <c r="N73" i="37"/>
  <c r="L73" i="37"/>
  <c r="T72" i="37"/>
  <c r="N72" i="37"/>
  <c r="L72" i="37"/>
  <c r="T71" i="37"/>
  <c r="N71" i="37"/>
  <c r="L71" i="37"/>
  <c r="T70" i="37"/>
  <c r="N70" i="37"/>
  <c r="L70" i="37"/>
  <c r="T69" i="37"/>
  <c r="N69" i="37"/>
  <c r="L69" i="37"/>
  <c r="T68" i="37"/>
  <c r="N68" i="37"/>
  <c r="L68" i="37"/>
  <c r="T67" i="37"/>
  <c r="N67" i="37"/>
  <c r="L67" i="37"/>
  <c r="T66" i="37"/>
  <c r="N66" i="37"/>
  <c r="L66" i="37"/>
  <c r="T65" i="37"/>
  <c r="N65" i="37"/>
  <c r="L65" i="37"/>
  <c r="T64" i="37"/>
  <c r="N64" i="37"/>
  <c r="L64" i="37"/>
  <c r="T63" i="37"/>
  <c r="N63" i="37"/>
  <c r="L63" i="37"/>
  <c r="T62" i="37"/>
  <c r="N62" i="37"/>
  <c r="L62" i="37"/>
  <c r="T61" i="37"/>
  <c r="N61" i="37"/>
  <c r="L61" i="37"/>
  <c r="T60" i="37"/>
  <c r="N60" i="37"/>
  <c r="L60" i="37"/>
  <c r="T59" i="37"/>
  <c r="N59" i="37"/>
  <c r="L59" i="37"/>
  <c r="T58" i="37"/>
  <c r="N58" i="37"/>
  <c r="L58" i="37"/>
  <c r="T57" i="37"/>
  <c r="N57" i="37"/>
  <c r="L57" i="37"/>
  <c r="T56" i="37"/>
  <c r="N56" i="37"/>
  <c r="L56" i="37"/>
  <c r="T55" i="37"/>
  <c r="N55" i="37"/>
  <c r="L55" i="37"/>
  <c r="T54" i="37"/>
  <c r="N54" i="37"/>
  <c r="L54" i="37"/>
  <c r="T53" i="37"/>
  <c r="N53" i="37"/>
  <c r="L53" i="37"/>
  <c r="T52" i="37"/>
  <c r="N52" i="37"/>
  <c r="L52" i="37"/>
  <c r="T51" i="37"/>
  <c r="N51" i="37"/>
  <c r="L51" i="37"/>
  <c r="T50" i="37"/>
  <c r="N50" i="37"/>
  <c r="L50" i="37"/>
  <c r="T49" i="37"/>
  <c r="N49" i="37"/>
  <c r="L49" i="37"/>
  <c r="T48" i="37"/>
  <c r="N48" i="37"/>
  <c r="L48" i="37"/>
  <c r="T47" i="37"/>
  <c r="N47" i="37"/>
  <c r="L47" i="37"/>
  <c r="T46" i="37"/>
  <c r="N46" i="37"/>
  <c r="L46" i="37"/>
  <c r="T45" i="37"/>
  <c r="N45" i="37"/>
  <c r="L45" i="37"/>
  <c r="T44" i="37"/>
  <c r="N44" i="37"/>
  <c r="L44" i="37"/>
  <c r="T43" i="37"/>
  <c r="N43" i="37"/>
  <c r="L43" i="37"/>
  <c r="T42" i="37"/>
  <c r="N42" i="37"/>
  <c r="L42" i="37"/>
  <c r="T41" i="37"/>
  <c r="N41" i="37"/>
  <c r="L41" i="37"/>
  <c r="T40" i="37"/>
  <c r="N40" i="37"/>
  <c r="L40" i="37"/>
  <c r="T39" i="37"/>
  <c r="N39" i="37"/>
  <c r="L39" i="37"/>
  <c r="T38" i="37"/>
  <c r="N38" i="37"/>
  <c r="L38" i="37"/>
  <c r="T37" i="37"/>
  <c r="N37" i="37"/>
  <c r="L37" i="37"/>
  <c r="T36" i="37"/>
  <c r="N36" i="37"/>
  <c r="L36" i="37"/>
  <c r="T35" i="37"/>
  <c r="N35" i="37"/>
  <c r="L35" i="37"/>
  <c r="T34" i="37"/>
  <c r="N34" i="37"/>
  <c r="L34" i="37"/>
  <c r="T33" i="37"/>
  <c r="N33" i="37"/>
  <c r="L33" i="37"/>
  <c r="T32" i="37"/>
  <c r="N32" i="37"/>
  <c r="L32" i="37"/>
  <c r="T31" i="37"/>
  <c r="N31" i="37"/>
  <c r="L31" i="37"/>
  <c r="T30" i="37"/>
  <c r="N30" i="37"/>
  <c r="L30" i="37"/>
  <c r="T29" i="37"/>
  <c r="N29" i="37"/>
  <c r="L29" i="37"/>
  <c r="T28" i="37"/>
  <c r="N28" i="37"/>
  <c r="L28" i="37"/>
  <c r="T27" i="37"/>
  <c r="N27" i="37"/>
  <c r="L27" i="37"/>
  <c r="T26" i="37"/>
  <c r="N26" i="37"/>
  <c r="L26" i="37"/>
  <c r="T25" i="37"/>
  <c r="N25" i="37"/>
  <c r="L25" i="37"/>
  <c r="T24" i="37"/>
  <c r="N24" i="37"/>
  <c r="L24" i="37"/>
  <c r="T23" i="37"/>
  <c r="N23" i="37"/>
  <c r="L23" i="37"/>
  <c r="T22" i="37"/>
  <c r="N22" i="37"/>
  <c r="L22" i="37"/>
  <c r="T21" i="37"/>
  <c r="N21" i="37"/>
  <c r="L21" i="37"/>
  <c r="T20" i="37"/>
  <c r="N20" i="37"/>
  <c r="L20" i="37"/>
  <c r="T19" i="37"/>
  <c r="N19" i="37"/>
  <c r="L19" i="37"/>
  <c r="T18" i="37"/>
  <c r="N18" i="37"/>
  <c r="L18" i="37"/>
  <c r="T17" i="37"/>
  <c r="N17" i="37"/>
  <c r="L17" i="37"/>
  <c r="T16" i="37"/>
  <c r="N16" i="37"/>
  <c r="L16" i="37"/>
  <c r="T15" i="37"/>
  <c r="N15" i="37"/>
  <c r="L15" i="37"/>
  <c r="T14" i="37"/>
  <c r="N14" i="37"/>
  <c r="L14" i="37"/>
  <c r="T13" i="37"/>
  <c r="N13" i="37"/>
  <c r="L13" i="37"/>
  <c r="T12" i="37"/>
  <c r="N12" i="37"/>
  <c r="L12" i="37"/>
  <c r="T11" i="37"/>
  <c r="N11" i="37"/>
  <c r="L11" i="37"/>
  <c r="T10" i="37"/>
  <c r="N10" i="37"/>
  <c r="L10" i="37"/>
  <c r="T9" i="37"/>
  <c r="N9" i="37"/>
  <c r="L9" i="37"/>
  <c r="T8" i="37"/>
  <c r="N8" i="37"/>
  <c r="L8" i="37"/>
  <c r="T7" i="37"/>
  <c r="N7" i="37"/>
  <c r="L7" i="37"/>
  <c r="T6" i="37"/>
  <c r="N6" i="37"/>
  <c r="L6" i="37"/>
  <c r="T5" i="37"/>
  <c r="N5" i="37"/>
  <c r="L5" i="37"/>
  <c r="T4" i="37"/>
  <c r="N4" i="37"/>
  <c r="L4" i="37"/>
  <c r="J9" i="37"/>
  <c r="C173" i="41" l="1"/>
  <c r="C174" i="41"/>
  <c r="F9" i="41"/>
  <c r="E20" i="27" s="1"/>
  <c r="C172" i="41"/>
  <c r="F6" i="41"/>
  <c r="C171" i="41"/>
  <c r="F7" i="41"/>
  <c r="E7" i="41" s="1"/>
  <c r="C123" i="41" s="1"/>
  <c r="U6" i="38"/>
  <c r="U7" i="38"/>
  <c r="U14" i="38"/>
  <c r="U50" i="38"/>
  <c r="U12" i="38"/>
  <c r="U10" i="38"/>
  <c r="U26" i="38"/>
  <c r="U31" i="38"/>
  <c r="U20" i="38"/>
  <c r="N85" i="38"/>
  <c r="N85" i="37"/>
  <c r="F18" i="41" s="1"/>
  <c r="E9" i="42"/>
  <c r="C125" i="42" s="1"/>
  <c r="U81" i="38"/>
  <c r="U77" i="38"/>
  <c r="U73" i="38"/>
  <c r="U69" i="38"/>
  <c r="U65" i="38"/>
  <c r="U83" i="38"/>
  <c r="U79" i="38"/>
  <c r="U75" i="38"/>
  <c r="U71" i="38"/>
  <c r="U67" i="38"/>
  <c r="U63" i="38"/>
  <c r="U84" i="38"/>
  <c r="U80" i="38"/>
  <c r="U82" i="38"/>
  <c r="U74" i="38"/>
  <c r="U66" i="38"/>
  <c r="U61" i="38"/>
  <c r="U57" i="38"/>
  <c r="U53" i="38"/>
  <c r="U76" i="38"/>
  <c r="U68" i="38"/>
  <c r="U62" i="38"/>
  <c r="U56" i="38"/>
  <c r="U51" i="38"/>
  <c r="U49" i="38"/>
  <c r="U45" i="38"/>
  <c r="U41" i="38"/>
  <c r="U37" i="38"/>
  <c r="U33" i="38"/>
  <c r="U29" i="38"/>
  <c r="U25" i="38"/>
  <c r="U21" i="38"/>
  <c r="U72" i="38"/>
  <c r="U58" i="38"/>
  <c r="U52" i="38"/>
  <c r="U46" i="38"/>
  <c r="U78" i="38"/>
  <c r="U59" i="38"/>
  <c r="U55" i="38"/>
  <c r="U43" i="38"/>
  <c r="U40" i="38"/>
  <c r="U35" i="38"/>
  <c r="U30" i="38"/>
  <c r="U24" i="38"/>
  <c r="U19" i="38"/>
  <c r="U15" i="38"/>
  <c r="U11" i="38"/>
  <c r="U5" i="38"/>
  <c r="U4" i="38"/>
  <c r="U70" i="38"/>
  <c r="U47" i="38"/>
  <c r="U38" i="38"/>
  <c r="U32" i="38"/>
  <c r="U27" i="38"/>
  <c r="U22" i="38"/>
  <c r="U17" i="38"/>
  <c r="U13" i="38"/>
  <c r="U9" i="38"/>
  <c r="U8" i="38"/>
  <c r="U60" i="38"/>
  <c r="U48" i="38"/>
  <c r="U39" i="38"/>
  <c r="U34" i="38"/>
  <c r="U28" i="38"/>
  <c r="U23" i="38"/>
  <c r="U16" i="38"/>
  <c r="U18" i="38"/>
  <c r="U42" i="38"/>
  <c r="U54" i="38"/>
  <c r="U36" i="38"/>
  <c r="U44" i="38"/>
  <c r="U81" i="37"/>
  <c r="U77" i="37"/>
  <c r="U73" i="37"/>
  <c r="U69" i="37"/>
  <c r="U65" i="37"/>
  <c r="U82" i="37"/>
  <c r="U78" i="37"/>
  <c r="U74" i="37"/>
  <c r="U70" i="37"/>
  <c r="U66" i="37"/>
  <c r="U83" i="37"/>
  <c r="U79" i="37"/>
  <c r="U75" i="37"/>
  <c r="U71" i="37"/>
  <c r="U67" i="37"/>
  <c r="U63" i="37"/>
  <c r="U61" i="37"/>
  <c r="U57" i="37"/>
  <c r="U53" i="37"/>
  <c r="U49" i="37"/>
  <c r="U84" i="37"/>
  <c r="U58" i="37"/>
  <c r="U80" i="37"/>
  <c r="U76" i="37"/>
  <c r="U72" i="37"/>
  <c r="U68" i="37"/>
  <c r="U64" i="37"/>
  <c r="U62" i="37"/>
  <c r="U59" i="37"/>
  <c r="U55" i="37"/>
  <c r="U51" i="37"/>
  <c r="U47" i="37"/>
  <c r="U60" i="37"/>
  <c r="U54" i="37"/>
  <c r="U46" i="37"/>
  <c r="U42" i="37"/>
  <c r="U38" i="37"/>
  <c r="U34" i="37"/>
  <c r="U56" i="37"/>
  <c r="U48" i="37"/>
  <c r="U43" i="37"/>
  <c r="U39" i="37"/>
  <c r="U35" i="37"/>
  <c r="U31" i="37"/>
  <c r="U50" i="37"/>
  <c r="U44" i="37"/>
  <c r="U40" i="37"/>
  <c r="U36" i="37"/>
  <c r="U32" i="37"/>
  <c r="U10" i="37"/>
  <c r="U22" i="37"/>
  <c r="U8" i="37"/>
  <c r="U9" i="37"/>
  <c r="U13" i="37"/>
  <c r="U17" i="37"/>
  <c r="U21" i="37"/>
  <c r="U25" i="37"/>
  <c r="U29" i="37"/>
  <c r="U45" i="37"/>
  <c r="U6" i="37"/>
  <c r="U7" i="37"/>
  <c r="U12" i="37"/>
  <c r="U16" i="37"/>
  <c r="U20" i="37"/>
  <c r="U24" i="37"/>
  <c r="U28" i="37"/>
  <c r="U30" i="37"/>
  <c r="U33" i="37"/>
  <c r="U52" i="37"/>
  <c r="U14" i="37"/>
  <c r="U18" i="37"/>
  <c r="U26" i="37"/>
  <c r="U4" i="37"/>
  <c r="U5" i="37"/>
  <c r="U11" i="37"/>
  <c r="U15" i="37"/>
  <c r="U19" i="37"/>
  <c r="U23" i="37"/>
  <c r="U27" i="37"/>
  <c r="U37" i="37"/>
  <c r="U41" i="37"/>
  <c r="F18" i="42" l="1"/>
  <c r="E18" i="42" s="1"/>
  <c r="C137" i="42" s="1"/>
  <c r="E18" i="41"/>
  <c r="C137" i="41" s="1"/>
  <c r="E9" i="41"/>
  <c r="C125" i="41" s="1"/>
  <c r="T84" i="36" l="1"/>
  <c r="N84" i="36"/>
  <c r="L84" i="36"/>
  <c r="T83" i="36"/>
  <c r="N83" i="36"/>
  <c r="L83" i="36"/>
  <c r="T82" i="36"/>
  <c r="N82" i="36"/>
  <c r="L82" i="36"/>
  <c r="T81" i="36"/>
  <c r="N81" i="36"/>
  <c r="L81" i="36"/>
  <c r="T80" i="36"/>
  <c r="N80" i="36"/>
  <c r="L80" i="36"/>
  <c r="T79" i="36"/>
  <c r="N79" i="36"/>
  <c r="L79" i="36"/>
  <c r="T78" i="36"/>
  <c r="N78" i="36"/>
  <c r="L78" i="36"/>
  <c r="T77" i="36"/>
  <c r="N77" i="36"/>
  <c r="L77" i="36"/>
  <c r="T76" i="36"/>
  <c r="N76" i="36"/>
  <c r="L76" i="36"/>
  <c r="T75" i="36"/>
  <c r="N75" i="36"/>
  <c r="L75" i="36"/>
  <c r="T74" i="36"/>
  <c r="N74" i="36"/>
  <c r="L74" i="36"/>
  <c r="T73" i="36"/>
  <c r="N73" i="36"/>
  <c r="L73" i="36"/>
  <c r="T72" i="36"/>
  <c r="N72" i="36"/>
  <c r="L72" i="36"/>
  <c r="T71" i="36"/>
  <c r="N71" i="36"/>
  <c r="L71" i="36"/>
  <c r="T70" i="36"/>
  <c r="N70" i="36"/>
  <c r="L70" i="36"/>
  <c r="T69" i="36"/>
  <c r="N69" i="36"/>
  <c r="L69" i="36"/>
  <c r="T68" i="36"/>
  <c r="N68" i="36"/>
  <c r="L68" i="36"/>
  <c r="T67" i="36"/>
  <c r="N67" i="36"/>
  <c r="L67" i="36"/>
  <c r="T66" i="36"/>
  <c r="N66" i="36"/>
  <c r="L66" i="36"/>
  <c r="T65" i="36"/>
  <c r="N65" i="36"/>
  <c r="L65" i="36"/>
  <c r="T64" i="36"/>
  <c r="N64" i="36"/>
  <c r="L64" i="36"/>
  <c r="T63" i="36"/>
  <c r="N63" i="36"/>
  <c r="L63" i="36"/>
  <c r="T62" i="36"/>
  <c r="N62" i="36"/>
  <c r="L62" i="36"/>
  <c r="T61" i="36"/>
  <c r="N61" i="36"/>
  <c r="L61" i="36"/>
  <c r="T60" i="36"/>
  <c r="N60" i="36"/>
  <c r="L60" i="36"/>
  <c r="T59" i="36"/>
  <c r="N59" i="36"/>
  <c r="L59" i="36"/>
  <c r="T58" i="36"/>
  <c r="N58" i="36"/>
  <c r="L58" i="36"/>
  <c r="T57" i="36"/>
  <c r="N57" i="36"/>
  <c r="L57" i="36"/>
  <c r="T56" i="36"/>
  <c r="N56" i="36"/>
  <c r="L56" i="36"/>
  <c r="T55" i="36"/>
  <c r="N55" i="36"/>
  <c r="L55" i="36"/>
  <c r="T54" i="36"/>
  <c r="N54" i="36"/>
  <c r="L54" i="36"/>
  <c r="T53" i="36"/>
  <c r="N53" i="36"/>
  <c r="L53" i="36"/>
  <c r="T52" i="36"/>
  <c r="N52" i="36"/>
  <c r="L52" i="36"/>
  <c r="T51" i="36"/>
  <c r="N51" i="36"/>
  <c r="L51" i="36"/>
  <c r="T50" i="36"/>
  <c r="N50" i="36"/>
  <c r="L50" i="36"/>
  <c r="T49" i="36"/>
  <c r="N49" i="36"/>
  <c r="L49" i="36"/>
  <c r="T48" i="36"/>
  <c r="N48" i="36"/>
  <c r="L48" i="36"/>
  <c r="T47" i="36"/>
  <c r="N47" i="36"/>
  <c r="L47" i="36"/>
  <c r="T46" i="36"/>
  <c r="N46" i="36"/>
  <c r="L46" i="36"/>
  <c r="T45" i="36"/>
  <c r="N45" i="36"/>
  <c r="L45" i="36"/>
  <c r="T44" i="36"/>
  <c r="N44" i="36"/>
  <c r="L44" i="36"/>
  <c r="T43" i="36"/>
  <c r="N43" i="36"/>
  <c r="L43" i="36"/>
  <c r="T42" i="36"/>
  <c r="N42" i="36"/>
  <c r="L42" i="36"/>
  <c r="T41" i="36"/>
  <c r="N41" i="36"/>
  <c r="L41" i="36"/>
  <c r="T40" i="36"/>
  <c r="N40" i="36"/>
  <c r="L40" i="36"/>
  <c r="T39" i="36"/>
  <c r="N39" i="36"/>
  <c r="L39" i="36"/>
  <c r="T38" i="36"/>
  <c r="N38" i="36"/>
  <c r="L38" i="36"/>
  <c r="T37" i="36"/>
  <c r="N37" i="36"/>
  <c r="L37" i="36"/>
  <c r="T36" i="36"/>
  <c r="N36" i="36"/>
  <c r="L36" i="36"/>
  <c r="T35" i="36"/>
  <c r="N35" i="36"/>
  <c r="L35" i="36"/>
  <c r="T34" i="36"/>
  <c r="N34" i="36"/>
  <c r="L34" i="36"/>
  <c r="T33" i="36"/>
  <c r="N33" i="36"/>
  <c r="L33" i="36"/>
  <c r="T32" i="36"/>
  <c r="N32" i="36"/>
  <c r="L32" i="36"/>
  <c r="T31" i="36"/>
  <c r="N31" i="36"/>
  <c r="L31" i="36"/>
  <c r="T30" i="36"/>
  <c r="N30" i="36"/>
  <c r="L30" i="36"/>
  <c r="T29" i="36"/>
  <c r="N29" i="36"/>
  <c r="L29" i="36"/>
  <c r="T28" i="36"/>
  <c r="N28" i="36"/>
  <c r="L28" i="36"/>
  <c r="T27" i="36"/>
  <c r="N27" i="36"/>
  <c r="L27" i="36"/>
  <c r="T26" i="36"/>
  <c r="N26" i="36"/>
  <c r="L26" i="36"/>
  <c r="T25" i="36"/>
  <c r="N25" i="36"/>
  <c r="L25" i="36"/>
  <c r="T24" i="36"/>
  <c r="N24" i="36"/>
  <c r="L24" i="36"/>
  <c r="T23" i="36"/>
  <c r="N23" i="36"/>
  <c r="L23" i="36"/>
  <c r="T22" i="36"/>
  <c r="N22" i="36"/>
  <c r="L22" i="36"/>
  <c r="T21" i="36"/>
  <c r="N21" i="36"/>
  <c r="L21" i="36"/>
  <c r="T20" i="36"/>
  <c r="N20" i="36"/>
  <c r="L20" i="36"/>
  <c r="T19" i="36"/>
  <c r="N19" i="36"/>
  <c r="L19" i="36"/>
  <c r="T18" i="36"/>
  <c r="N18" i="36"/>
  <c r="L18" i="36"/>
  <c r="T17" i="36"/>
  <c r="N17" i="36"/>
  <c r="L17" i="36"/>
  <c r="T16" i="36"/>
  <c r="N16" i="36"/>
  <c r="L16" i="36"/>
  <c r="T15" i="36"/>
  <c r="N15" i="36"/>
  <c r="L15" i="36"/>
  <c r="T14" i="36"/>
  <c r="N14" i="36"/>
  <c r="L14" i="36"/>
  <c r="T13" i="36"/>
  <c r="N13" i="36"/>
  <c r="L13" i="36"/>
  <c r="T12" i="36"/>
  <c r="N12" i="36"/>
  <c r="L12" i="36"/>
  <c r="T11" i="36"/>
  <c r="N11" i="36"/>
  <c r="L11" i="36"/>
  <c r="T10" i="36"/>
  <c r="N10" i="36"/>
  <c r="L10" i="36"/>
  <c r="T9" i="36"/>
  <c r="N9" i="36"/>
  <c r="L9" i="36"/>
  <c r="T8" i="36"/>
  <c r="N8" i="36"/>
  <c r="L8" i="36"/>
  <c r="T7" i="36"/>
  <c r="N7" i="36"/>
  <c r="L7" i="36"/>
  <c r="T6" i="36"/>
  <c r="N6" i="36"/>
  <c r="L6" i="36"/>
  <c r="T5" i="36"/>
  <c r="N5" i="36"/>
  <c r="L5" i="36"/>
  <c r="T4" i="36"/>
  <c r="N4" i="36"/>
  <c r="L4" i="36"/>
  <c r="J9" i="36"/>
  <c r="U4" i="36"/>
  <c r="D25" i="33"/>
  <c r="C183" i="33" s="1"/>
  <c r="D23" i="33"/>
  <c r="D22" i="33"/>
  <c r="D21" i="33"/>
  <c r="D20" i="33"/>
  <c r="D18" i="33"/>
  <c r="D16" i="33"/>
  <c r="C184" i="33" s="1"/>
  <c r="D14" i="33"/>
  <c r="C181" i="33" s="1"/>
  <c r="D12" i="33"/>
  <c r="D11" i="33"/>
  <c r="D9" i="33"/>
  <c r="D8" i="33"/>
  <c r="D7" i="33"/>
  <c r="D18" i="7" s="1"/>
  <c r="D6" i="33"/>
  <c r="C170" i="33" s="1"/>
  <c r="B61" i="33"/>
  <c r="T84" i="32"/>
  <c r="N84" i="32"/>
  <c r="L84" i="32"/>
  <c r="T83" i="32"/>
  <c r="N83" i="32"/>
  <c r="L83" i="32"/>
  <c r="T82" i="32"/>
  <c r="N82" i="32"/>
  <c r="L82" i="32"/>
  <c r="T81" i="32"/>
  <c r="N81" i="32"/>
  <c r="L81" i="32"/>
  <c r="T80" i="32"/>
  <c r="N80" i="32"/>
  <c r="L80" i="32"/>
  <c r="T79" i="32"/>
  <c r="N79" i="32"/>
  <c r="L79" i="32"/>
  <c r="T78" i="32"/>
  <c r="N78" i="32"/>
  <c r="L78" i="32"/>
  <c r="T77" i="32"/>
  <c r="N77" i="32"/>
  <c r="L77" i="32"/>
  <c r="T76" i="32"/>
  <c r="N76" i="32"/>
  <c r="L76" i="32"/>
  <c r="T75" i="32"/>
  <c r="N75" i="32"/>
  <c r="L75" i="32"/>
  <c r="T74" i="32"/>
  <c r="N74" i="32"/>
  <c r="L74" i="32"/>
  <c r="T73" i="32"/>
  <c r="N73" i="32"/>
  <c r="L73" i="32"/>
  <c r="T72" i="32"/>
  <c r="N72" i="32"/>
  <c r="L72" i="32"/>
  <c r="T71" i="32"/>
  <c r="N71" i="32"/>
  <c r="L71" i="32"/>
  <c r="T70" i="32"/>
  <c r="N70" i="32"/>
  <c r="L70" i="32"/>
  <c r="T69" i="32"/>
  <c r="N69" i="32"/>
  <c r="L69" i="32"/>
  <c r="T68" i="32"/>
  <c r="N68" i="32"/>
  <c r="L68" i="32"/>
  <c r="T67" i="32"/>
  <c r="N67" i="32"/>
  <c r="L67" i="32"/>
  <c r="T66" i="32"/>
  <c r="N66" i="32"/>
  <c r="L66" i="32"/>
  <c r="T65" i="32"/>
  <c r="N65" i="32"/>
  <c r="L65" i="32"/>
  <c r="T64" i="32"/>
  <c r="N64" i="32"/>
  <c r="L64" i="32"/>
  <c r="T63" i="32"/>
  <c r="N63" i="32"/>
  <c r="L63" i="32"/>
  <c r="T62" i="32"/>
  <c r="N62" i="32"/>
  <c r="L62" i="32"/>
  <c r="T61" i="32"/>
  <c r="N61" i="32"/>
  <c r="L61" i="32"/>
  <c r="T60" i="32"/>
  <c r="N60" i="32"/>
  <c r="L60" i="32"/>
  <c r="T59" i="32"/>
  <c r="N59" i="32"/>
  <c r="L59" i="32"/>
  <c r="T58" i="32"/>
  <c r="N58" i="32"/>
  <c r="L58" i="32"/>
  <c r="T57" i="32"/>
  <c r="N57" i="32"/>
  <c r="L57" i="32"/>
  <c r="T56" i="32"/>
  <c r="N56" i="32"/>
  <c r="L56" i="32"/>
  <c r="T55" i="32"/>
  <c r="N55" i="32"/>
  <c r="L55" i="32"/>
  <c r="T54" i="32"/>
  <c r="N54" i="32"/>
  <c r="L54" i="32"/>
  <c r="T53" i="32"/>
  <c r="N53" i="32"/>
  <c r="L53" i="32"/>
  <c r="T52" i="32"/>
  <c r="N52" i="32"/>
  <c r="L52" i="32"/>
  <c r="T51" i="32"/>
  <c r="N51" i="32"/>
  <c r="L51" i="32"/>
  <c r="T50" i="32"/>
  <c r="N50" i="32"/>
  <c r="L50" i="32"/>
  <c r="T49" i="32"/>
  <c r="N49" i="32"/>
  <c r="L49" i="32"/>
  <c r="T48" i="32"/>
  <c r="N48" i="32"/>
  <c r="L48" i="32"/>
  <c r="T47" i="32"/>
  <c r="N47" i="32"/>
  <c r="L47" i="32"/>
  <c r="T46" i="32"/>
  <c r="N46" i="32"/>
  <c r="L46" i="32"/>
  <c r="T45" i="32"/>
  <c r="N45" i="32"/>
  <c r="L45" i="32"/>
  <c r="T44" i="32"/>
  <c r="N44" i="32"/>
  <c r="L44" i="32"/>
  <c r="T43" i="32"/>
  <c r="N43" i="32"/>
  <c r="L43" i="32"/>
  <c r="T42" i="32"/>
  <c r="N42" i="32"/>
  <c r="L42" i="32"/>
  <c r="T41" i="32"/>
  <c r="N41" i="32"/>
  <c r="L41" i="32"/>
  <c r="T40" i="32"/>
  <c r="N40" i="32"/>
  <c r="L40" i="32"/>
  <c r="T39" i="32"/>
  <c r="N39" i="32"/>
  <c r="L39" i="32"/>
  <c r="T38" i="32"/>
  <c r="N38" i="32"/>
  <c r="L38" i="32"/>
  <c r="T37" i="32"/>
  <c r="N37" i="32"/>
  <c r="L37" i="32"/>
  <c r="T36" i="32"/>
  <c r="N36" i="32"/>
  <c r="L36" i="32"/>
  <c r="T35" i="32"/>
  <c r="N35" i="32"/>
  <c r="L35" i="32"/>
  <c r="T34" i="32"/>
  <c r="N34" i="32"/>
  <c r="L34" i="32"/>
  <c r="T33" i="32"/>
  <c r="N33" i="32"/>
  <c r="L33" i="32"/>
  <c r="T32" i="32"/>
  <c r="N32" i="32"/>
  <c r="L32" i="32"/>
  <c r="T31" i="32"/>
  <c r="N31" i="32"/>
  <c r="L31" i="32"/>
  <c r="T30" i="32"/>
  <c r="N30" i="32"/>
  <c r="L30" i="32"/>
  <c r="T29" i="32"/>
  <c r="N29" i="32"/>
  <c r="L29" i="32"/>
  <c r="T28" i="32"/>
  <c r="N28" i="32"/>
  <c r="L28" i="32"/>
  <c r="T27" i="32"/>
  <c r="N27" i="32"/>
  <c r="L27" i="32"/>
  <c r="T26" i="32"/>
  <c r="N26" i="32"/>
  <c r="L26" i="32"/>
  <c r="T25" i="32"/>
  <c r="N25" i="32"/>
  <c r="L25" i="32"/>
  <c r="T24" i="32"/>
  <c r="N24" i="32"/>
  <c r="L24" i="32"/>
  <c r="T23" i="32"/>
  <c r="N23" i="32"/>
  <c r="L23" i="32"/>
  <c r="T22" i="32"/>
  <c r="N22" i="32"/>
  <c r="L22" i="32"/>
  <c r="T21" i="32"/>
  <c r="N21" i="32"/>
  <c r="L21" i="32"/>
  <c r="T20" i="32"/>
  <c r="N20" i="32"/>
  <c r="L20" i="32"/>
  <c r="T19" i="32"/>
  <c r="N19" i="32"/>
  <c r="L19" i="32"/>
  <c r="T18" i="32"/>
  <c r="N18" i="32"/>
  <c r="L18" i="32"/>
  <c r="T17" i="32"/>
  <c r="N17" i="32"/>
  <c r="L17" i="32"/>
  <c r="T16" i="32"/>
  <c r="N16" i="32"/>
  <c r="L16" i="32"/>
  <c r="T15" i="32"/>
  <c r="N15" i="32"/>
  <c r="L15" i="32"/>
  <c r="T14" i="32"/>
  <c r="N14" i="32"/>
  <c r="L14" i="32"/>
  <c r="T13" i="32"/>
  <c r="N13" i="32"/>
  <c r="L13" i="32"/>
  <c r="T12" i="32"/>
  <c r="N12" i="32"/>
  <c r="L12" i="32"/>
  <c r="T11" i="32"/>
  <c r="N11" i="32"/>
  <c r="L11" i="32"/>
  <c r="T10" i="32"/>
  <c r="N10" i="32"/>
  <c r="L10" i="32"/>
  <c r="T9" i="32"/>
  <c r="N9" i="32"/>
  <c r="L9" i="32"/>
  <c r="T8" i="32"/>
  <c r="N8" i="32"/>
  <c r="L8" i="32"/>
  <c r="T7" i="32"/>
  <c r="N7" i="32"/>
  <c r="L7" i="32"/>
  <c r="T6" i="32"/>
  <c r="N6" i="32"/>
  <c r="L6" i="32"/>
  <c r="T5" i="32"/>
  <c r="N5" i="32"/>
  <c r="L5" i="32"/>
  <c r="T4" i="32"/>
  <c r="N4" i="32"/>
  <c r="L4" i="32"/>
  <c r="J9" i="32"/>
  <c r="U28" i="32"/>
  <c r="T84" i="31"/>
  <c r="N84" i="31"/>
  <c r="L84" i="31"/>
  <c r="T83" i="31"/>
  <c r="N83" i="31"/>
  <c r="L83" i="31"/>
  <c r="T82" i="31"/>
  <c r="N82" i="31"/>
  <c r="L82" i="31"/>
  <c r="T81" i="31"/>
  <c r="N81" i="31"/>
  <c r="L81" i="31"/>
  <c r="T80" i="31"/>
  <c r="N80" i="31"/>
  <c r="L80" i="31"/>
  <c r="T79" i="31"/>
  <c r="N79" i="31"/>
  <c r="L79" i="31"/>
  <c r="T78" i="31"/>
  <c r="N78" i="31"/>
  <c r="L78" i="31"/>
  <c r="T77" i="31"/>
  <c r="N77" i="31"/>
  <c r="L77" i="31"/>
  <c r="T76" i="31"/>
  <c r="N76" i="31"/>
  <c r="L76" i="31"/>
  <c r="T75" i="31"/>
  <c r="N75" i="31"/>
  <c r="L75" i="31"/>
  <c r="T74" i="31"/>
  <c r="N74" i="31"/>
  <c r="L74" i="31"/>
  <c r="T73" i="31"/>
  <c r="N73" i="31"/>
  <c r="L73" i="31"/>
  <c r="T72" i="31"/>
  <c r="N72" i="31"/>
  <c r="L72" i="31"/>
  <c r="T71" i="31"/>
  <c r="N71" i="31"/>
  <c r="L71" i="31"/>
  <c r="T70" i="31"/>
  <c r="N70" i="31"/>
  <c r="L70" i="31"/>
  <c r="T69" i="31"/>
  <c r="N69" i="31"/>
  <c r="L69" i="31"/>
  <c r="T68" i="31"/>
  <c r="N68" i="31"/>
  <c r="L68" i="31"/>
  <c r="T67" i="31"/>
  <c r="N67" i="31"/>
  <c r="L67" i="31"/>
  <c r="T66" i="31"/>
  <c r="N66" i="31"/>
  <c r="L66" i="31"/>
  <c r="T65" i="31"/>
  <c r="N65" i="31"/>
  <c r="L65" i="31"/>
  <c r="T64" i="31"/>
  <c r="N64" i="31"/>
  <c r="L64" i="31"/>
  <c r="T63" i="31"/>
  <c r="N63" i="31"/>
  <c r="L63" i="31"/>
  <c r="T62" i="31"/>
  <c r="N62" i="31"/>
  <c r="L62" i="31"/>
  <c r="T61" i="31"/>
  <c r="N61" i="31"/>
  <c r="L61" i="31"/>
  <c r="T60" i="31"/>
  <c r="N60" i="31"/>
  <c r="L60" i="31"/>
  <c r="T59" i="31"/>
  <c r="N59" i="31"/>
  <c r="L59" i="31"/>
  <c r="T58" i="31"/>
  <c r="N58" i="31"/>
  <c r="L58" i="31"/>
  <c r="T57" i="31"/>
  <c r="N57" i="31"/>
  <c r="L57" i="31"/>
  <c r="T56" i="31"/>
  <c r="N56" i="31"/>
  <c r="L56" i="31"/>
  <c r="T55" i="31"/>
  <c r="N55" i="31"/>
  <c r="L55" i="31"/>
  <c r="T54" i="31"/>
  <c r="N54" i="31"/>
  <c r="L54" i="31"/>
  <c r="T53" i="31"/>
  <c r="N53" i="31"/>
  <c r="L53" i="31"/>
  <c r="T52" i="31"/>
  <c r="N52" i="31"/>
  <c r="L52" i="31"/>
  <c r="T51" i="31"/>
  <c r="N51" i="31"/>
  <c r="L51" i="31"/>
  <c r="T50" i="31"/>
  <c r="N50" i="31"/>
  <c r="L50" i="31"/>
  <c r="T49" i="31"/>
  <c r="N49" i="31"/>
  <c r="L49" i="31"/>
  <c r="T48" i="31"/>
  <c r="N48" i="31"/>
  <c r="L48" i="31"/>
  <c r="T47" i="31"/>
  <c r="N47" i="31"/>
  <c r="L47" i="31"/>
  <c r="T46" i="31"/>
  <c r="N46" i="31"/>
  <c r="L46" i="31"/>
  <c r="T45" i="31"/>
  <c r="N45" i="31"/>
  <c r="L45" i="31"/>
  <c r="T44" i="31"/>
  <c r="N44" i="31"/>
  <c r="L44" i="31"/>
  <c r="T43" i="31"/>
  <c r="N43" i="31"/>
  <c r="L43" i="31"/>
  <c r="T42" i="31"/>
  <c r="N42" i="31"/>
  <c r="L42" i="31"/>
  <c r="T41" i="31"/>
  <c r="N41" i="31"/>
  <c r="L41" i="31"/>
  <c r="T40" i="31"/>
  <c r="N40" i="31"/>
  <c r="L40" i="31"/>
  <c r="T39" i="31"/>
  <c r="N39" i="31"/>
  <c r="L39" i="31"/>
  <c r="T38" i="31"/>
  <c r="N38" i="31"/>
  <c r="L38" i="31"/>
  <c r="T37" i="31"/>
  <c r="N37" i="31"/>
  <c r="L37" i="31"/>
  <c r="T36" i="31"/>
  <c r="N36" i="31"/>
  <c r="L36" i="31"/>
  <c r="T35" i="31"/>
  <c r="N35" i="31"/>
  <c r="L35" i="31"/>
  <c r="T34" i="31"/>
  <c r="N34" i="31"/>
  <c r="L34" i="31"/>
  <c r="T33" i="31"/>
  <c r="N33" i="31"/>
  <c r="L33" i="31"/>
  <c r="T32" i="31"/>
  <c r="N32" i="31"/>
  <c r="L32" i="31"/>
  <c r="T31" i="31"/>
  <c r="N31" i="31"/>
  <c r="L31" i="31"/>
  <c r="T30" i="31"/>
  <c r="N30" i="31"/>
  <c r="L30" i="31"/>
  <c r="T29" i="31"/>
  <c r="N29" i="31"/>
  <c r="L29" i="31"/>
  <c r="T28" i="31"/>
  <c r="N28" i="31"/>
  <c r="L28" i="31"/>
  <c r="T27" i="31"/>
  <c r="N27" i="31"/>
  <c r="L27" i="31"/>
  <c r="T26" i="31"/>
  <c r="N26" i="31"/>
  <c r="L26" i="31"/>
  <c r="T25" i="31"/>
  <c r="N25" i="31"/>
  <c r="L25" i="31"/>
  <c r="T24" i="31"/>
  <c r="N24" i="31"/>
  <c r="L24" i="31"/>
  <c r="T23" i="31"/>
  <c r="N23" i="31"/>
  <c r="L23" i="31"/>
  <c r="T22" i="31"/>
  <c r="N22" i="31"/>
  <c r="L22" i="31"/>
  <c r="T21" i="31"/>
  <c r="N21" i="31"/>
  <c r="L21" i="31"/>
  <c r="T20" i="31"/>
  <c r="N20" i="31"/>
  <c r="L20" i="31"/>
  <c r="T19" i="31"/>
  <c r="N19" i="31"/>
  <c r="L19" i="31"/>
  <c r="T18" i="31"/>
  <c r="N18" i="31"/>
  <c r="L18" i="31"/>
  <c r="T17" i="31"/>
  <c r="N17" i="31"/>
  <c r="L17" i="31"/>
  <c r="T16" i="31"/>
  <c r="N16" i="31"/>
  <c r="L16" i="31"/>
  <c r="T15" i="31"/>
  <c r="N15" i="31"/>
  <c r="L15" i="31"/>
  <c r="T14" i="31"/>
  <c r="N14" i="31"/>
  <c r="L14" i="31"/>
  <c r="T13" i="31"/>
  <c r="N13" i="31"/>
  <c r="L13" i="31"/>
  <c r="T12" i="31"/>
  <c r="N12" i="31"/>
  <c r="L12" i="31"/>
  <c r="T11" i="31"/>
  <c r="N11" i="31"/>
  <c r="L11" i="31"/>
  <c r="T10" i="31"/>
  <c r="N10" i="31"/>
  <c r="L10" i="31"/>
  <c r="T9" i="31"/>
  <c r="N9" i="31"/>
  <c r="L9" i="31"/>
  <c r="T8" i="31"/>
  <c r="N8" i="31"/>
  <c r="L8" i="31"/>
  <c r="T7" i="31"/>
  <c r="N7" i="31"/>
  <c r="L7" i="31"/>
  <c r="T6" i="31"/>
  <c r="N6" i="31"/>
  <c r="L6" i="31"/>
  <c r="T5" i="31"/>
  <c r="N5" i="31"/>
  <c r="L5" i="31"/>
  <c r="T4" i="31"/>
  <c r="N4" i="31"/>
  <c r="L4" i="31"/>
  <c r="J9" i="31"/>
  <c r="U20" i="31"/>
  <c r="T84" i="30"/>
  <c r="L84" i="30"/>
  <c r="T83" i="30"/>
  <c r="L83" i="30"/>
  <c r="T82" i="30"/>
  <c r="L82" i="30"/>
  <c r="T81" i="30"/>
  <c r="L81" i="30"/>
  <c r="T80" i="30"/>
  <c r="L80" i="30"/>
  <c r="T79" i="30"/>
  <c r="L79" i="30"/>
  <c r="T78" i="30"/>
  <c r="L78" i="30"/>
  <c r="T77" i="30"/>
  <c r="L77" i="30"/>
  <c r="T76" i="30"/>
  <c r="L76" i="30"/>
  <c r="T75" i="30"/>
  <c r="L75" i="30"/>
  <c r="T74" i="30"/>
  <c r="L74" i="30"/>
  <c r="T73" i="30"/>
  <c r="L73" i="30"/>
  <c r="T72" i="30"/>
  <c r="L72" i="30"/>
  <c r="T71" i="30"/>
  <c r="L71" i="30"/>
  <c r="T70" i="30"/>
  <c r="L70" i="30"/>
  <c r="T69" i="30"/>
  <c r="L69" i="30"/>
  <c r="T68" i="30"/>
  <c r="L68" i="30"/>
  <c r="T67" i="30"/>
  <c r="L67" i="30"/>
  <c r="T66" i="30"/>
  <c r="L66" i="30"/>
  <c r="T65" i="30"/>
  <c r="L65" i="30"/>
  <c r="T64" i="30"/>
  <c r="L64" i="30"/>
  <c r="T63" i="30"/>
  <c r="L63" i="30"/>
  <c r="T62" i="30"/>
  <c r="L62" i="30"/>
  <c r="T61" i="30"/>
  <c r="L61" i="30"/>
  <c r="T60" i="30"/>
  <c r="L60" i="30"/>
  <c r="T59" i="30"/>
  <c r="L59" i="30"/>
  <c r="T58" i="30"/>
  <c r="L58" i="30"/>
  <c r="T57" i="30"/>
  <c r="L57" i="30"/>
  <c r="T56" i="30"/>
  <c r="L56" i="30"/>
  <c r="T55" i="30"/>
  <c r="L55" i="30"/>
  <c r="T54" i="30"/>
  <c r="L54" i="30"/>
  <c r="T53" i="30"/>
  <c r="L53" i="30"/>
  <c r="T52" i="30"/>
  <c r="L52" i="30"/>
  <c r="T51" i="30"/>
  <c r="L51" i="30"/>
  <c r="T50" i="30"/>
  <c r="L50" i="30"/>
  <c r="T49" i="30"/>
  <c r="L49" i="30"/>
  <c r="T48" i="30"/>
  <c r="L48" i="30"/>
  <c r="T47" i="30"/>
  <c r="L47" i="30"/>
  <c r="T46" i="30"/>
  <c r="L46" i="30"/>
  <c r="T45" i="30"/>
  <c r="L45" i="30"/>
  <c r="T44" i="30"/>
  <c r="L44" i="30"/>
  <c r="T43" i="30"/>
  <c r="L43" i="30"/>
  <c r="T42" i="30"/>
  <c r="L42" i="30"/>
  <c r="T41" i="30"/>
  <c r="L41" i="30"/>
  <c r="T40" i="30"/>
  <c r="L40" i="30"/>
  <c r="T39" i="30"/>
  <c r="L39" i="30"/>
  <c r="T38" i="30"/>
  <c r="L38" i="30"/>
  <c r="T37" i="30"/>
  <c r="L37" i="30"/>
  <c r="T36" i="30"/>
  <c r="L36" i="30"/>
  <c r="T35" i="30"/>
  <c r="L35" i="30"/>
  <c r="T34" i="30"/>
  <c r="L34" i="30"/>
  <c r="T33" i="30"/>
  <c r="L33" i="30"/>
  <c r="T32" i="30"/>
  <c r="L32" i="30"/>
  <c r="T31" i="30"/>
  <c r="L31" i="30"/>
  <c r="T30" i="30"/>
  <c r="L30" i="30"/>
  <c r="T29" i="30"/>
  <c r="L29" i="30"/>
  <c r="T28" i="30"/>
  <c r="L28" i="30"/>
  <c r="T27" i="30"/>
  <c r="L27" i="30"/>
  <c r="T26" i="30"/>
  <c r="L26" i="30"/>
  <c r="T25" i="30"/>
  <c r="L25" i="30"/>
  <c r="T24" i="30"/>
  <c r="L24" i="30"/>
  <c r="T23" i="30"/>
  <c r="L23" i="30"/>
  <c r="T22" i="30"/>
  <c r="L22" i="30"/>
  <c r="T21" i="30"/>
  <c r="L21" i="30"/>
  <c r="T20" i="30"/>
  <c r="L20" i="30"/>
  <c r="T19" i="30"/>
  <c r="L19" i="30"/>
  <c r="T18" i="30"/>
  <c r="L18" i="30"/>
  <c r="T17" i="30"/>
  <c r="L17" i="30"/>
  <c r="T16" i="30"/>
  <c r="L16" i="30"/>
  <c r="T15" i="30"/>
  <c r="L15" i="30"/>
  <c r="T14" i="30"/>
  <c r="L14" i="30"/>
  <c r="T13" i="30"/>
  <c r="L13" i="30"/>
  <c r="T12" i="30"/>
  <c r="L12" i="30"/>
  <c r="T11" i="30"/>
  <c r="L11" i="30"/>
  <c r="T10" i="30"/>
  <c r="L10" i="30"/>
  <c r="T9" i="30"/>
  <c r="L9" i="30"/>
  <c r="T8" i="30"/>
  <c r="L8" i="30"/>
  <c r="T7" i="30"/>
  <c r="L7" i="30"/>
  <c r="T6" i="30"/>
  <c r="L6" i="30"/>
  <c r="T5" i="30"/>
  <c r="L5" i="30"/>
  <c r="T4" i="30"/>
  <c r="L4" i="30"/>
  <c r="U22" i="30"/>
  <c r="C173" i="33" l="1"/>
  <c r="C174" i="33"/>
  <c r="F9" i="33"/>
  <c r="E15" i="27" s="1"/>
  <c r="C172" i="33"/>
  <c r="F8" i="33"/>
  <c r="E8" i="33" s="1"/>
  <c r="C124" i="33" s="1"/>
  <c r="F6" i="33"/>
  <c r="K23" i="23" s="1"/>
  <c r="C171" i="33"/>
  <c r="F7" i="33"/>
  <c r="E7" i="33" s="1"/>
  <c r="C123" i="33" s="1"/>
  <c r="J9" i="30"/>
  <c r="N85" i="36"/>
  <c r="U4" i="31"/>
  <c r="U5" i="31"/>
  <c r="U10" i="31"/>
  <c r="U11" i="31"/>
  <c r="U28" i="31"/>
  <c r="U29" i="31"/>
  <c r="U30" i="31"/>
  <c r="U15" i="31"/>
  <c r="U16" i="31"/>
  <c r="U22" i="31"/>
  <c r="U38" i="31"/>
  <c r="U15" i="30"/>
  <c r="U14" i="30"/>
  <c r="U26" i="30"/>
  <c r="U5" i="30"/>
  <c r="U23" i="30"/>
  <c r="U20" i="32"/>
  <c r="U6" i="32"/>
  <c r="U7" i="32"/>
  <c r="U12" i="32"/>
  <c r="U16" i="32"/>
  <c r="U8" i="36"/>
  <c r="U9" i="36"/>
  <c r="U18" i="36"/>
  <c r="U6" i="36"/>
  <c r="U15" i="36"/>
  <c r="U5" i="36"/>
  <c r="U11" i="36"/>
  <c r="U14" i="36"/>
  <c r="U81" i="36"/>
  <c r="U77" i="36"/>
  <c r="U73" i="36"/>
  <c r="U69" i="36"/>
  <c r="U82" i="36"/>
  <c r="U78" i="36"/>
  <c r="U74" i="36"/>
  <c r="U70" i="36"/>
  <c r="U66" i="36"/>
  <c r="U84" i="36"/>
  <c r="U80" i="36"/>
  <c r="U76" i="36"/>
  <c r="U72" i="36"/>
  <c r="U68" i="36"/>
  <c r="U75" i="36"/>
  <c r="U64" i="36"/>
  <c r="U59" i="36"/>
  <c r="U55" i="36"/>
  <c r="U51" i="36"/>
  <c r="U47" i="36"/>
  <c r="U71" i="36"/>
  <c r="U65" i="36"/>
  <c r="U60" i="36"/>
  <c r="U56" i="36"/>
  <c r="U52" i="36"/>
  <c r="U48" i="36"/>
  <c r="U44" i="36"/>
  <c r="U40" i="36"/>
  <c r="U36" i="36"/>
  <c r="U32" i="36"/>
  <c r="U83" i="36"/>
  <c r="U79" i="36"/>
  <c r="U67" i="36"/>
  <c r="U61" i="36"/>
  <c r="U57" i="36"/>
  <c r="U53" i="36"/>
  <c r="U49" i="36"/>
  <c r="U63" i="36"/>
  <c r="U62" i="36"/>
  <c r="U58" i="36"/>
  <c r="U54" i="36"/>
  <c r="U41" i="36"/>
  <c r="U35" i="36"/>
  <c r="U42" i="36"/>
  <c r="U37" i="36"/>
  <c r="U46" i="36"/>
  <c r="U43" i="36"/>
  <c r="U38" i="36"/>
  <c r="U33" i="36"/>
  <c r="U30" i="36"/>
  <c r="U26" i="36"/>
  <c r="U22" i="36"/>
  <c r="U50" i="36"/>
  <c r="U45" i="36"/>
  <c r="U39" i="36"/>
  <c r="U34" i="36"/>
  <c r="U31" i="36"/>
  <c r="U29" i="36"/>
  <c r="U24" i="36"/>
  <c r="U21" i="36"/>
  <c r="U17" i="36"/>
  <c r="U13" i="36"/>
  <c r="U25" i="36"/>
  <c r="U27" i="36"/>
  <c r="U19" i="36"/>
  <c r="U28" i="36"/>
  <c r="U23" i="36"/>
  <c r="U20" i="36"/>
  <c r="U16" i="36"/>
  <c r="U12" i="36"/>
  <c r="U7" i="36"/>
  <c r="U10" i="36"/>
  <c r="C175" i="33"/>
  <c r="U24" i="32"/>
  <c r="U36" i="32"/>
  <c r="U40" i="32"/>
  <c r="U4" i="32"/>
  <c r="U5" i="32"/>
  <c r="U11" i="32"/>
  <c r="U15" i="32"/>
  <c r="U19" i="32"/>
  <c r="U23" i="32"/>
  <c r="U25" i="32"/>
  <c r="U81" i="32"/>
  <c r="U77" i="32"/>
  <c r="U73" i="32"/>
  <c r="U69" i="32"/>
  <c r="U65" i="32"/>
  <c r="U82" i="32"/>
  <c r="U78" i="32"/>
  <c r="U74" i="32"/>
  <c r="U70" i="32"/>
  <c r="U66" i="32"/>
  <c r="U83" i="32"/>
  <c r="U79" i="32"/>
  <c r="U75" i="32"/>
  <c r="U71" i="32"/>
  <c r="U67" i="32"/>
  <c r="U63" i="32"/>
  <c r="U84" i="32"/>
  <c r="U80" i="32"/>
  <c r="U76" i="32"/>
  <c r="U72" i="32"/>
  <c r="U62" i="32"/>
  <c r="U58" i="32"/>
  <c r="U54" i="32"/>
  <c r="U50" i="32"/>
  <c r="U46" i="32"/>
  <c r="U59" i="32"/>
  <c r="U55" i="32"/>
  <c r="U51" i="32"/>
  <c r="U47" i="32"/>
  <c r="U64" i="32"/>
  <c r="U60" i="32"/>
  <c r="U56" i="32"/>
  <c r="U52" i="32"/>
  <c r="U48" i="32"/>
  <c r="U68" i="32"/>
  <c r="U61" i="32"/>
  <c r="U45" i="32"/>
  <c r="U41" i="32"/>
  <c r="U37" i="32"/>
  <c r="U33" i="32"/>
  <c r="U29" i="32"/>
  <c r="U42" i="32"/>
  <c r="U38" i="32"/>
  <c r="U34" i="32"/>
  <c r="U30" i="32"/>
  <c r="U26" i="32"/>
  <c r="U43" i="32"/>
  <c r="U39" i="32"/>
  <c r="U35" i="32"/>
  <c r="U31" i="32"/>
  <c r="U27" i="32"/>
  <c r="U57" i="32"/>
  <c r="U53" i="32"/>
  <c r="U49" i="32"/>
  <c r="U44" i="32"/>
  <c r="N85" i="32"/>
  <c r="U10" i="32"/>
  <c r="U14" i="32"/>
  <c r="U18" i="32"/>
  <c r="U22" i="32"/>
  <c r="U8" i="32"/>
  <c r="U9" i="32"/>
  <c r="U13" i="32"/>
  <c r="U17" i="32"/>
  <c r="U21" i="32"/>
  <c r="U32" i="32"/>
  <c r="U26" i="31"/>
  <c r="U81" i="31"/>
  <c r="U77" i="31"/>
  <c r="U73" i="31"/>
  <c r="U69" i="31"/>
  <c r="U65" i="31"/>
  <c r="U84" i="31"/>
  <c r="U79" i="31"/>
  <c r="U74" i="31"/>
  <c r="U80" i="31"/>
  <c r="U75" i="31"/>
  <c r="U70" i="31"/>
  <c r="U64" i="31"/>
  <c r="U59" i="31"/>
  <c r="U83" i="31"/>
  <c r="U62" i="31"/>
  <c r="U57" i="31"/>
  <c r="U54" i="31"/>
  <c r="U50" i="31"/>
  <c r="U46" i="31"/>
  <c r="U42" i="31"/>
  <c r="U82" i="31"/>
  <c r="U78" i="31"/>
  <c r="U76" i="31"/>
  <c r="U68" i="31"/>
  <c r="U67" i="31"/>
  <c r="U66" i="31"/>
  <c r="U58" i="31"/>
  <c r="U55" i="31"/>
  <c r="U51" i="31"/>
  <c r="U47" i="31"/>
  <c r="U43" i="31"/>
  <c r="U39" i="31"/>
  <c r="U35" i="31"/>
  <c r="U31" i="31"/>
  <c r="U27" i="31"/>
  <c r="U71" i="31"/>
  <c r="U49" i="31"/>
  <c r="U37" i="31"/>
  <c r="U32" i="31"/>
  <c r="U25" i="31"/>
  <c r="U21" i="31"/>
  <c r="U17" i="31"/>
  <c r="U13" i="31"/>
  <c r="U9" i="31"/>
  <c r="U8" i="31"/>
  <c r="U61" i="31"/>
  <c r="U52" i="31"/>
  <c r="U44" i="31"/>
  <c r="U6" i="31"/>
  <c r="U14" i="31"/>
  <c r="U19" i="31"/>
  <c r="U24" i="31"/>
  <c r="U34" i="31"/>
  <c r="N85" i="31"/>
  <c r="F8" i="41" s="1"/>
  <c r="E8" i="41" s="1"/>
  <c r="C124" i="41" s="1"/>
  <c r="U33" i="31"/>
  <c r="U40" i="31"/>
  <c r="U41" i="31"/>
  <c r="U48" i="31"/>
  <c r="U56" i="31"/>
  <c r="U72" i="31"/>
  <c r="U7" i="31"/>
  <c r="U12" i="31"/>
  <c r="U18" i="31"/>
  <c r="U23" i="31"/>
  <c r="U36" i="31"/>
  <c r="U45" i="31"/>
  <c r="U53" i="31"/>
  <c r="U60" i="31"/>
  <c r="U63" i="31"/>
  <c r="U11" i="30"/>
  <c r="U19" i="30"/>
  <c r="U30" i="30"/>
  <c r="U81" i="30"/>
  <c r="U77" i="30"/>
  <c r="U73" i="30"/>
  <c r="U69" i="30"/>
  <c r="U82" i="30"/>
  <c r="U78" i="30"/>
  <c r="U74" i="30"/>
  <c r="U70" i="30"/>
  <c r="U66" i="30"/>
  <c r="U83" i="30"/>
  <c r="U79" i="30"/>
  <c r="U75" i="30"/>
  <c r="U71" i="30"/>
  <c r="U67" i="30"/>
  <c r="U63" i="30"/>
  <c r="U84" i="30"/>
  <c r="U80" i="30"/>
  <c r="U62" i="30"/>
  <c r="U64" i="30"/>
  <c r="U59" i="30"/>
  <c r="U55" i="30"/>
  <c r="U51" i="30"/>
  <c r="U76" i="30"/>
  <c r="U72" i="30"/>
  <c r="U68" i="30"/>
  <c r="U61" i="30"/>
  <c r="U57" i="30"/>
  <c r="U53" i="30"/>
  <c r="U49" i="30"/>
  <c r="U54" i="30"/>
  <c r="U45" i="30"/>
  <c r="U41" i="30"/>
  <c r="U37" i="30"/>
  <c r="U56" i="30"/>
  <c r="U48" i="30"/>
  <c r="U46" i="30"/>
  <c r="U42" i="30"/>
  <c r="U38" i="30"/>
  <c r="U65" i="30"/>
  <c r="U50" i="30"/>
  <c r="U40" i="30"/>
  <c r="U32" i="30"/>
  <c r="U28" i="30"/>
  <c r="U24" i="30"/>
  <c r="U20" i="30"/>
  <c r="U16" i="30"/>
  <c r="U12" i="30"/>
  <c r="U7" i="30"/>
  <c r="U6" i="30"/>
  <c r="U35" i="30"/>
  <c r="U58" i="30"/>
  <c r="U43" i="30"/>
  <c r="U34" i="30"/>
  <c r="U33" i="30"/>
  <c r="U29" i="30"/>
  <c r="U25" i="30"/>
  <c r="U21" i="30"/>
  <c r="U17" i="30"/>
  <c r="U13" i="30"/>
  <c r="U9" i="30"/>
  <c r="U8" i="30"/>
  <c r="U60" i="30"/>
  <c r="U44" i="30"/>
  <c r="U52" i="30"/>
  <c r="U47" i="30"/>
  <c r="U39" i="30"/>
  <c r="U36" i="30"/>
  <c r="U31" i="30"/>
  <c r="U27" i="30"/>
  <c r="U4" i="30"/>
  <c r="U10" i="30"/>
  <c r="U18" i="30"/>
  <c r="D116" i="18"/>
  <c r="E116" i="18"/>
  <c r="F116" i="18"/>
  <c r="G116" i="18"/>
  <c r="C116" i="18"/>
  <c r="C177" i="18" s="1"/>
  <c r="F18" i="33" l="1"/>
  <c r="F8" i="42"/>
  <c r="E8" i="42" s="1"/>
  <c r="C124" i="42" s="1"/>
  <c r="E9" i="33"/>
  <c r="C125" i="33" s="1"/>
  <c r="E6" i="33"/>
  <c r="C122" i="33" s="1"/>
  <c r="F116" i="42"/>
  <c r="F116" i="41"/>
  <c r="F116" i="33"/>
  <c r="G116" i="41"/>
  <c r="G116" i="42"/>
  <c r="G116" i="33"/>
  <c r="E116" i="41"/>
  <c r="E116" i="33"/>
  <c r="E116" i="42"/>
  <c r="C116" i="42"/>
  <c r="C177" i="42" s="1"/>
  <c r="C116" i="33"/>
  <c r="C177" i="33" s="1"/>
  <c r="C116" i="41"/>
  <c r="C177" i="41" s="1"/>
  <c r="D116" i="33"/>
  <c r="D116" i="42"/>
  <c r="D116" i="41"/>
  <c r="G12" i="40" l="1"/>
  <c r="D12" i="39"/>
  <c r="F12" i="17"/>
  <c r="C12" i="39"/>
  <c r="E12" i="17"/>
  <c r="E12" i="40"/>
  <c r="G12" i="34"/>
  <c r="D12" i="17"/>
  <c r="F12" i="34"/>
  <c r="C12" i="40"/>
  <c r="E12" i="34"/>
  <c r="G12" i="39"/>
  <c r="E12" i="39"/>
  <c r="G12" i="17"/>
  <c r="F12" i="40"/>
  <c r="F12" i="39"/>
  <c r="D12" i="40"/>
  <c r="D12" i="34"/>
  <c r="C12" i="34"/>
  <c r="C180" i="42"/>
  <c r="B187" i="42" s="1"/>
  <c r="C180" i="41"/>
  <c r="B187" i="41" s="1"/>
  <c r="C180" i="33"/>
  <c r="B187" i="33" s="1"/>
  <c r="C180" i="18"/>
  <c r="B187" i="18" s="1"/>
  <c r="C125" i="18"/>
  <c r="F22" i="42"/>
  <c r="E22" i="42" s="1"/>
  <c r="C141" i="42" s="1"/>
  <c r="F22" i="41"/>
  <c r="E22" i="41" s="1"/>
  <c r="C141" i="41" s="1"/>
  <c r="F23" i="42"/>
  <c r="E23" i="42" s="1"/>
  <c r="C142" i="42" s="1"/>
  <c r="F23" i="41"/>
  <c r="E23" i="41" s="1"/>
  <c r="C142" i="41" s="1"/>
  <c r="F20" i="42"/>
  <c r="E20" i="42" s="1"/>
  <c r="C139" i="42" s="1"/>
  <c r="F20" i="41"/>
  <c r="E20" i="41" s="1"/>
  <c r="C139" i="41" s="1"/>
  <c r="F12" i="41"/>
  <c r="E12" i="41" s="1"/>
  <c r="C128" i="41" s="1"/>
  <c r="F12" i="42"/>
  <c r="E12" i="42" s="1"/>
  <c r="C128" i="42" s="1"/>
  <c r="F11" i="42"/>
  <c r="E11" i="42" s="1"/>
  <c r="C127" i="42" s="1"/>
  <c r="F11" i="41"/>
  <c r="E11" i="41" s="1"/>
  <c r="C127" i="41" s="1"/>
  <c r="F21" i="42"/>
  <c r="E21" i="42" s="1"/>
  <c r="C140" i="42" s="1"/>
  <c r="F21" i="41"/>
  <c r="E21" i="41" s="1"/>
  <c r="C140" i="41" s="1"/>
  <c r="E23" i="18"/>
  <c r="C142" i="18" s="1"/>
  <c r="F23" i="33"/>
  <c r="E23" i="33" s="1"/>
  <c r="C142" i="33" s="1"/>
  <c r="E22" i="18"/>
  <c r="C141" i="18" s="1"/>
  <c r="F22" i="33"/>
  <c r="E22" i="33" s="1"/>
  <c r="C141" i="33" s="1"/>
  <c r="E20" i="18"/>
  <c r="C139" i="18" s="1"/>
  <c r="F20" i="33"/>
  <c r="E20" i="33" s="1"/>
  <c r="C139" i="33" s="1"/>
  <c r="E12" i="18"/>
  <c r="C128" i="18" s="1"/>
  <c r="F12" i="33"/>
  <c r="E12" i="33" s="1"/>
  <c r="C128" i="33" s="1"/>
  <c r="E21" i="18"/>
  <c r="C140" i="18" s="1"/>
  <c r="F21" i="33"/>
  <c r="E21" i="33" s="1"/>
  <c r="C140" i="33" s="1"/>
  <c r="E11" i="18"/>
  <c r="C127" i="18" s="1"/>
  <c r="F11" i="33"/>
  <c r="E11" i="33" s="1"/>
  <c r="C127" i="33" s="1"/>
  <c r="C123" i="18"/>
  <c r="J9" i="26"/>
  <c r="F52" i="40" l="1"/>
  <c r="C52" i="39"/>
  <c r="G52" i="39"/>
  <c r="E52" i="39"/>
  <c r="F52" i="39"/>
  <c r="D52" i="39"/>
  <c r="G52" i="40"/>
  <c r="C52" i="40"/>
  <c r="E52" i="40"/>
  <c r="D52" i="40"/>
  <c r="E52" i="34"/>
  <c r="G52" i="34"/>
  <c r="C52" i="34"/>
  <c r="D52" i="34"/>
  <c r="F52" i="34"/>
  <c r="T84" i="26" l="1"/>
  <c r="N84" i="26"/>
  <c r="L84" i="26"/>
  <c r="T83" i="26"/>
  <c r="N83" i="26"/>
  <c r="L83" i="26"/>
  <c r="T82" i="26"/>
  <c r="N82" i="26"/>
  <c r="L82" i="26"/>
  <c r="T81" i="26"/>
  <c r="N81" i="26"/>
  <c r="L81" i="26"/>
  <c r="T80" i="26"/>
  <c r="N80" i="26"/>
  <c r="L80" i="26"/>
  <c r="T79" i="26"/>
  <c r="N79" i="26"/>
  <c r="L79" i="26"/>
  <c r="T78" i="26"/>
  <c r="N78" i="26"/>
  <c r="L78" i="26"/>
  <c r="T77" i="26"/>
  <c r="N77" i="26"/>
  <c r="L77" i="26"/>
  <c r="T76" i="26"/>
  <c r="N76" i="26"/>
  <c r="L76" i="26"/>
  <c r="T75" i="26"/>
  <c r="N75" i="26"/>
  <c r="L75" i="26"/>
  <c r="T74" i="26"/>
  <c r="N74" i="26"/>
  <c r="L74" i="26"/>
  <c r="T73" i="26"/>
  <c r="N73" i="26"/>
  <c r="L73" i="26"/>
  <c r="T72" i="26"/>
  <c r="N72" i="26"/>
  <c r="L72" i="26"/>
  <c r="T71" i="26"/>
  <c r="N71" i="26"/>
  <c r="L71" i="26"/>
  <c r="T70" i="26"/>
  <c r="N70" i="26"/>
  <c r="L70" i="26"/>
  <c r="T69" i="26"/>
  <c r="N69" i="26"/>
  <c r="L69" i="26"/>
  <c r="T68" i="26"/>
  <c r="N68" i="26"/>
  <c r="L68" i="26"/>
  <c r="T67" i="26"/>
  <c r="N67" i="26"/>
  <c r="L67" i="26"/>
  <c r="T66" i="26"/>
  <c r="N66" i="26"/>
  <c r="L66" i="26"/>
  <c r="T65" i="26"/>
  <c r="N65" i="26"/>
  <c r="L65" i="26"/>
  <c r="T64" i="26"/>
  <c r="N64" i="26"/>
  <c r="L64" i="26"/>
  <c r="T63" i="26"/>
  <c r="N63" i="26"/>
  <c r="L63" i="26"/>
  <c r="T62" i="26"/>
  <c r="N62" i="26"/>
  <c r="L62" i="26"/>
  <c r="T61" i="26"/>
  <c r="N61" i="26"/>
  <c r="L61" i="26"/>
  <c r="T60" i="26"/>
  <c r="N60" i="26"/>
  <c r="L60" i="26"/>
  <c r="T59" i="26"/>
  <c r="N59" i="26"/>
  <c r="L59" i="26"/>
  <c r="T58" i="26"/>
  <c r="N58" i="26"/>
  <c r="L58" i="26"/>
  <c r="T57" i="26"/>
  <c r="N57" i="26"/>
  <c r="L57" i="26"/>
  <c r="T56" i="26"/>
  <c r="N56" i="26"/>
  <c r="L56" i="26"/>
  <c r="T55" i="26"/>
  <c r="N55" i="26"/>
  <c r="L55" i="26"/>
  <c r="T54" i="26"/>
  <c r="N54" i="26"/>
  <c r="L54" i="26"/>
  <c r="T53" i="26"/>
  <c r="N53" i="26"/>
  <c r="L53" i="26"/>
  <c r="T52" i="26"/>
  <c r="N52" i="26"/>
  <c r="L52" i="26"/>
  <c r="T51" i="26"/>
  <c r="N51" i="26"/>
  <c r="L51" i="26"/>
  <c r="T50" i="26"/>
  <c r="N50" i="26"/>
  <c r="L50" i="26"/>
  <c r="T49" i="26"/>
  <c r="N49" i="26"/>
  <c r="L49" i="26"/>
  <c r="T48" i="26"/>
  <c r="N48" i="26"/>
  <c r="L48" i="26"/>
  <c r="T47" i="26"/>
  <c r="N47" i="26"/>
  <c r="L47" i="26"/>
  <c r="T46" i="26"/>
  <c r="N46" i="26"/>
  <c r="L46" i="26"/>
  <c r="T45" i="26"/>
  <c r="N45" i="26"/>
  <c r="L45" i="26"/>
  <c r="T44" i="26"/>
  <c r="N44" i="26"/>
  <c r="L44" i="26"/>
  <c r="T43" i="26"/>
  <c r="N43" i="26"/>
  <c r="L43" i="26"/>
  <c r="T42" i="26"/>
  <c r="N42" i="26"/>
  <c r="L42" i="26"/>
  <c r="T41" i="26"/>
  <c r="N41" i="26"/>
  <c r="L41" i="26"/>
  <c r="T40" i="26"/>
  <c r="N40" i="26"/>
  <c r="L40" i="26"/>
  <c r="T39" i="26"/>
  <c r="N39" i="26"/>
  <c r="L39" i="26"/>
  <c r="T38" i="26"/>
  <c r="N38" i="26"/>
  <c r="L38" i="26"/>
  <c r="T37" i="26"/>
  <c r="N37" i="26"/>
  <c r="L37" i="26"/>
  <c r="T36" i="26"/>
  <c r="N36" i="26"/>
  <c r="L36" i="26"/>
  <c r="T35" i="26"/>
  <c r="N35" i="26"/>
  <c r="L35" i="26"/>
  <c r="T34" i="26"/>
  <c r="N34" i="26"/>
  <c r="L34" i="26"/>
  <c r="T33" i="26"/>
  <c r="N33" i="26"/>
  <c r="L33" i="26"/>
  <c r="T32" i="26"/>
  <c r="N32" i="26"/>
  <c r="L32" i="26"/>
  <c r="T31" i="26"/>
  <c r="N31" i="26"/>
  <c r="L31" i="26"/>
  <c r="T30" i="26"/>
  <c r="N30" i="26"/>
  <c r="L30" i="26"/>
  <c r="T29" i="26"/>
  <c r="N29" i="26"/>
  <c r="L29" i="26"/>
  <c r="T28" i="26"/>
  <c r="N28" i="26"/>
  <c r="L28" i="26"/>
  <c r="T27" i="26"/>
  <c r="N27" i="26"/>
  <c r="L27" i="26"/>
  <c r="T26" i="26"/>
  <c r="N26" i="26"/>
  <c r="L26" i="26"/>
  <c r="T25" i="26"/>
  <c r="N25" i="26"/>
  <c r="L25" i="26"/>
  <c r="T24" i="26"/>
  <c r="N24" i="26"/>
  <c r="L24" i="26"/>
  <c r="T23" i="26"/>
  <c r="N23" i="26"/>
  <c r="L23" i="26"/>
  <c r="T22" i="26"/>
  <c r="N22" i="26"/>
  <c r="L22" i="26"/>
  <c r="T21" i="26"/>
  <c r="N21" i="26"/>
  <c r="L21" i="26"/>
  <c r="T20" i="26"/>
  <c r="N20" i="26"/>
  <c r="L20" i="26"/>
  <c r="T19" i="26"/>
  <c r="N19" i="26"/>
  <c r="L19" i="26"/>
  <c r="T18" i="26"/>
  <c r="N18" i="26"/>
  <c r="L18" i="26"/>
  <c r="T17" i="26"/>
  <c r="N17" i="26"/>
  <c r="L17" i="26"/>
  <c r="T16" i="26"/>
  <c r="N16" i="26"/>
  <c r="L16" i="26"/>
  <c r="T15" i="26"/>
  <c r="N15" i="26"/>
  <c r="L15" i="26"/>
  <c r="T14" i="26"/>
  <c r="N14" i="26"/>
  <c r="L14" i="26"/>
  <c r="T13" i="26"/>
  <c r="N13" i="26"/>
  <c r="L13" i="26"/>
  <c r="T12" i="26"/>
  <c r="N12" i="26"/>
  <c r="L12" i="26"/>
  <c r="T11" i="26"/>
  <c r="N11" i="26"/>
  <c r="L11" i="26"/>
  <c r="T10" i="26"/>
  <c r="N10" i="26"/>
  <c r="L10" i="26"/>
  <c r="T9" i="26"/>
  <c r="N9" i="26"/>
  <c r="L9" i="26"/>
  <c r="T8" i="26"/>
  <c r="N8" i="26"/>
  <c r="L8" i="26"/>
  <c r="T7" i="26"/>
  <c r="N7" i="26"/>
  <c r="L7" i="26"/>
  <c r="T6" i="26"/>
  <c r="N6" i="26"/>
  <c r="L6" i="26"/>
  <c r="T5" i="26"/>
  <c r="N5" i="26"/>
  <c r="L5" i="26"/>
  <c r="T4" i="26"/>
  <c r="N4" i="26"/>
  <c r="L4" i="26"/>
  <c r="U26" i="26"/>
  <c r="I22" i="22"/>
  <c r="F16" i="18" s="1"/>
  <c r="J22" i="22" s="1"/>
  <c r="I27" i="22"/>
  <c r="I16" i="22"/>
  <c r="F15" i="18" s="1"/>
  <c r="J16" i="22" s="1"/>
  <c r="I11" i="22"/>
  <c r="F14" i="33" s="1"/>
  <c r="C109" i="18"/>
  <c r="G115" i="18"/>
  <c r="D115" i="18"/>
  <c r="E115" i="18"/>
  <c r="F115" i="18"/>
  <c r="C115" i="18"/>
  <c r="B36" i="34" l="1"/>
  <c r="B36" i="40"/>
  <c r="B36" i="17"/>
  <c r="B36" i="39"/>
  <c r="F25" i="41"/>
  <c r="E25" i="41" s="1"/>
  <c r="C144" i="41" s="1"/>
  <c r="E25" i="18"/>
  <c r="C144" i="18" s="1"/>
  <c r="F25" i="33"/>
  <c r="E25" i="33" s="1"/>
  <c r="C144" i="33" s="1"/>
  <c r="F25" i="42"/>
  <c r="E25" i="42" s="1"/>
  <c r="C144" i="42" s="1"/>
  <c r="F16" i="33"/>
  <c r="E16" i="33" s="1"/>
  <c r="C132" i="33" s="1"/>
  <c r="E16" i="18"/>
  <c r="C132" i="18" s="1"/>
  <c r="F16" i="42"/>
  <c r="E16" i="42" s="1"/>
  <c r="C132" i="42" s="1"/>
  <c r="F16" i="41"/>
  <c r="E16" i="41" s="1"/>
  <c r="C132" i="41" s="1"/>
  <c r="F15" i="33"/>
  <c r="E15" i="33" s="1"/>
  <c r="C131" i="33" s="1"/>
  <c r="F15" i="42"/>
  <c r="E15" i="42" s="1"/>
  <c r="C131" i="42" s="1"/>
  <c r="F15" i="41"/>
  <c r="E15" i="41" s="1"/>
  <c r="C131" i="41" s="1"/>
  <c r="E15" i="18"/>
  <c r="C131" i="18" s="1"/>
  <c r="E14" i="33"/>
  <c r="C130" i="33" s="1"/>
  <c r="C109" i="42"/>
  <c r="C109" i="33"/>
  <c r="C109" i="41"/>
  <c r="E115" i="33"/>
  <c r="E115" i="42"/>
  <c r="E115" i="41"/>
  <c r="D115" i="33"/>
  <c r="D115" i="42"/>
  <c r="D115" i="41"/>
  <c r="F115" i="41"/>
  <c r="F115" i="33"/>
  <c r="F115" i="42"/>
  <c r="C115" i="42"/>
  <c r="C115" i="41"/>
  <c r="C115" i="33"/>
  <c r="G115" i="42"/>
  <c r="G115" i="33"/>
  <c r="G115" i="41"/>
  <c r="C175" i="18"/>
  <c r="C176" i="18"/>
  <c r="U7" i="26"/>
  <c r="U4" i="26"/>
  <c r="N85" i="26"/>
  <c r="U22" i="26"/>
  <c r="U11" i="26"/>
  <c r="U5" i="26"/>
  <c r="U10" i="26"/>
  <c r="U12" i="26"/>
  <c r="U17" i="26"/>
  <c r="U21" i="26"/>
  <c r="U33" i="26"/>
  <c r="U37" i="26"/>
  <c r="U38" i="26"/>
  <c r="U50" i="26"/>
  <c r="U55" i="26"/>
  <c r="U81" i="26"/>
  <c r="U77" i="26"/>
  <c r="U73" i="26"/>
  <c r="U84" i="26"/>
  <c r="U80" i="26"/>
  <c r="U76" i="26"/>
  <c r="U72" i="26"/>
  <c r="U68" i="26"/>
  <c r="U64" i="26"/>
  <c r="U82" i="26"/>
  <c r="U74" i="26"/>
  <c r="U66" i="26"/>
  <c r="U61" i="26"/>
  <c r="U57" i="26"/>
  <c r="U83" i="26"/>
  <c r="U75" i="26"/>
  <c r="U67" i="26"/>
  <c r="U62" i="26"/>
  <c r="U58" i="26"/>
  <c r="U54" i="26"/>
  <c r="U79" i="26"/>
  <c r="U71" i="26"/>
  <c r="U65" i="26"/>
  <c r="U60" i="26"/>
  <c r="U56" i="26"/>
  <c r="U52" i="26"/>
  <c r="U69" i="26"/>
  <c r="U51" i="26"/>
  <c r="U47" i="26"/>
  <c r="U43" i="26"/>
  <c r="U39" i="26"/>
  <c r="U35" i="26"/>
  <c r="U70" i="26"/>
  <c r="U53" i="26"/>
  <c r="U48" i="26"/>
  <c r="U44" i="26"/>
  <c r="U40" i="26"/>
  <c r="U36" i="26"/>
  <c r="U32" i="26"/>
  <c r="U28" i="26"/>
  <c r="U24" i="26"/>
  <c r="U20" i="26"/>
  <c r="U16" i="26"/>
  <c r="U63" i="26"/>
  <c r="U59" i="26"/>
  <c r="U49" i="26"/>
  <c r="U46" i="26"/>
  <c r="U30" i="26"/>
  <c r="U14" i="26"/>
  <c r="U78" i="26"/>
  <c r="U45" i="26"/>
  <c r="U42" i="26"/>
  <c r="U34" i="26"/>
  <c r="U29" i="26"/>
  <c r="U23" i="26"/>
  <c r="U18" i="26"/>
  <c r="U13" i="26"/>
  <c r="U9" i="26"/>
  <c r="U8" i="26"/>
  <c r="U25" i="26"/>
  <c r="U19" i="26"/>
  <c r="U6" i="26"/>
  <c r="U15" i="26"/>
  <c r="U27" i="26"/>
  <c r="U31" i="26"/>
  <c r="U41" i="26"/>
  <c r="T4" i="10"/>
  <c r="T5" i="10"/>
  <c r="T6" i="10"/>
  <c r="T7" i="10"/>
  <c r="T8" i="10"/>
  <c r="T9" i="10"/>
  <c r="T10" i="10"/>
  <c r="T11" i="10"/>
  <c r="T12" i="10"/>
  <c r="T13" i="10"/>
  <c r="T14" i="10"/>
  <c r="T15" i="10"/>
  <c r="T16" i="10"/>
  <c r="T17" i="10"/>
  <c r="T18" i="10"/>
  <c r="T19" i="10"/>
  <c r="T20" i="10"/>
  <c r="T21" i="10"/>
  <c r="T22" i="10"/>
  <c r="T23" i="10"/>
  <c r="T24" i="10"/>
  <c r="T25" i="10"/>
  <c r="T26" i="10"/>
  <c r="T27" i="10"/>
  <c r="T28" i="10"/>
  <c r="T29" i="10"/>
  <c r="T30" i="10"/>
  <c r="T31" i="10"/>
  <c r="T32" i="10"/>
  <c r="T33" i="10"/>
  <c r="T34" i="10"/>
  <c r="T35" i="10"/>
  <c r="T36" i="10"/>
  <c r="T37" i="10"/>
  <c r="T38" i="10"/>
  <c r="T39" i="10"/>
  <c r="T40" i="10"/>
  <c r="T41" i="10"/>
  <c r="T42" i="10"/>
  <c r="T43" i="10"/>
  <c r="T44" i="10"/>
  <c r="T45" i="10"/>
  <c r="T46" i="10"/>
  <c r="T47" i="10"/>
  <c r="T48" i="10"/>
  <c r="T49" i="10"/>
  <c r="T50" i="10"/>
  <c r="T51" i="10"/>
  <c r="T52" i="10"/>
  <c r="T53" i="10"/>
  <c r="T54" i="10"/>
  <c r="T55" i="10"/>
  <c r="T56" i="10"/>
  <c r="T57" i="10"/>
  <c r="T58" i="10"/>
  <c r="T59" i="10"/>
  <c r="T60" i="10"/>
  <c r="T61" i="10"/>
  <c r="T62" i="10"/>
  <c r="T63" i="10"/>
  <c r="T64" i="10"/>
  <c r="T65" i="10"/>
  <c r="T66" i="10"/>
  <c r="T67" i="10"/>
  <c r="T68" i="10"/>
  <c r="T69" i="10"/>
  <c r="T70" i="10"/>
  <c r="T71" i="10"/>
  <c r="T72" i="10"/>
  <c r="T73" i="10"/>
  <c r="T74" i="10"/>
  <c r="T75" i="10"/>
  <c r="T76" i="10"/>
  <c r="T77" i="10"/>
  <c r="T78" i="10"/>
  <c r="T79" i="10"/>
  <c r="T80" i="10"/>
  <c r="T81" i="10"/>
  <c r="T82" i="10"/>
  <c r="T83" i="10"/>
  <c r="T84" i="10"/>
  <c r="N5" i="10"/>
  <c r="N6" i="10"/>
  <c r="N7" i="10"/>
  <c r="N8" i="10"/>
  <c r="N9" i="10"/>
  <c r="N10" i="10"/>
  <c r="N11" i="10"/>
  <c r="N12" i="10"/>
  <c r="N13" i="10"/>
  <c r="N14" i="10"/>
  <c r="N15" i="10"/>
  <c r="N16" i="10"/>
  <c r="N17" i="10"/>
  <c r="N18" i="10"/>
  <c r="N19" i="10"/>
  <c r="N20" i="10"/>
  <c r="N21" i="10"/>
  <c r="N22" i="10"/>
  <c r="N23" i="10"/>
  <c r="N24" i="10"/>
  <c r="N25" i="10"/>
  <c r="N26" i="10"/>
  <c r="N27" i="10"/>
  <c r="N28" i="10"/>
  <c r="N29" i="10"/>
  <c r="N30" i="10"/>
  <c r="N31" i="10"/>
  <c r="N32" i="10"/>
  <c r="N33" i="10"/>
  <c r="N34" i="10"/>
  <c r="N35" i="10"/>
  <c r="N36" i="10"/>
  <c r="N37" i="10"/>
  <c r="N38" i="10"/>
  <c r="N39" i="10"/>
  <c r="N40" i="10"/>
  <c r="N41" i="10"/>
  <c r="N42" i="10"/>
  <c r="N43" i="10"/>
  <c r="N44" i="10"/>
  <c r="N45" i="10"/>
  <c r="N46" i="10"/>
  <c r="N47" i="10"/>
  <c r="N48" i="10"/>
  <c r="N49" i="10"/>
  <c r="N50" i="10"/>
  <c r="N51" i="10"/>
  <c r="N52" i="10"/>
  <c r="N53" i="10"/>
  <c r="N54" i="10"/>
  <c r="N55" i="10"/>
  <c r="N56" i="10"/>
  <c r="N57" i="10"/>
  <c r="N58" i="10"/>
  <c r="N59" i="10"/>
  <c r="N60" i="10"/>
  <c r="N61" i="10"/>
  <c r="N62" i="10"/>
  <c r="N63" i="10"/>
  <c r="N64" i="10"/>
  <c r="N65" i="10"/>
  <c r="N66" i="10"/>
  <c r="N67" i="10"/>
  <c r="N68" i="10"/>
  <c r="N69" i="10"/>
  <c r="N70" i="10"/>
  <c r="N71" i="10"/>
  <c r="N72" i="10"/>
  <c r="N73" i="10"/>
  <c r="N74" i="10"/>
  <c r="N75" i="10"/>
  <c r="N76" i="10"/>
  <c r="N77" i="10"/>
  <c r="N78" i="10"/>
  <c r="N79" i="10"/>
  <c r="N80" i="10"/>
  <c r="N81" i="10"/>
  <c r="N82" i="10"/>
  <c r="N83" i="10"/>
  <c r="N84" i="10"/>
  <c r="N4" i="10"/>
  <c r="U4" i="10"/>
  <c r="J24" i="23"/>
  <c r="J25" i="23"/>
  <c r="E27" i="24"/>
  <c r="F27" i="24"/>
  <c r="G27" i="24"/>
  <c r="H27" i="24"/>
  <c r="E28" i="24"/>
  <c r="F28" i="24"/>
  <c r="G28" i="24"/>
  <c r="H28" i="24"/>
  <c r="E29" i="24"/>
  <c r="F29" i="24"/>
  <c r="G29" i="24"/>
  <c r="H29" i="24"/>
  <c r="E30" i="24"/>
  <c r="F30" i="24"/>
  <c r="G30" i="24"/>
  <c r="H30" i="24"/>
  <c r="E31" i="24"/>
  <c r="F31" i="24"/>
  <c r="G31" i="24"/>
  <c r="H31" i="24"/>
  <c r="D28" i="24"/>
  <c r="D29" i="24"/>
  <c r="D30" i="24"/>
  <c r="D31" i="24"/>
  <c r="D9" i="24"/>
  <c r="C11" i="39" s="1" a="1"/>
  <c r="C11" i="39" s="1"/>
  <c r="C13" i="39" s="1"/>
  <c r="E9" i="24"/>
  <c r="D11" i="39" s="1" a="1"/>
  <c r="D11" i="39" s="1"/>
  <c r="D13" i="39" s="1"/>
  <c r="F9" i="24"/>
  <c r="E11" i="39" s="1" a="1"/>
  <c r="E11" i="39" s="1"/>
  <c r="E13" i="39" s="1"/>
  <c r="G9" i="24"/>
  <c r="H9" i="24"/>
  <c r="D10" i="24"/>
  <c r="C11" i="40" s="1" a="1"/>
  <c r="C11" i="40" s="1"/>
  <c r="C13" i="40" s="1"/>
  <c r="E10" i="24"/>
  <c r="D11" i="40" s="1" a="1"/>
  <c r="D11" i="40" s="1"/>
  <c r="D13" i="40" s="1"/>
  <c r="F10" i="24"/>
  <c r="E11" i="40" s="1" a="1"/>
  <c r="E11" i="40" s="1"/>
  <c r="E13" i="40" s="1"/>
  <c r="G10" i="24"/>
  <c r="F11" i="40" s="1" a="1"/>
  <c r="F11" i="40" s="1"/>
  <c r="F13" i="40" s="1"/>
  <c r="H10" i="24"/>
  <c r="G11" i="40" s="1" a="1"/>
  <c r="G11" i="40" s="1"/>
  <c r="G13" i="40" s="1"/>
  <c r="D11" i="24"/>
  <c r="E11" i="24"/>
  <c r="F11" i="24"/>
  <c r="G11" i="24"/>
  <c r="H11" i="24"/>
  <c r="G11" i="17" s="1" a="1"/>
  <c r="G11" i="17" s="1"/>
  <c r="D12" i="24"/>
  <c r="E12" i="24"/>
  <c r="F12" i="24"/>
  <c r="G12" i="24"/>
  <c r="H12" i="24"/>
  <c r="D13" i="24"/>
  <c r="E13" i="24"/>
  <c r="F13" i="24"/>
  <c r="G13" i="24"/>
  <c r="H13" i="24"/>
  <c r="D14" i="24"/>
  <c r="E14" i="24"/>
  <c r="F14" i="24"/>
  <c r="G14" i="24"/>
  <c r="H14" i="24"/>
  <c r="D15" i="24"/>
  <c r="E15" i="24"/>
  <c r="F15" i="24"/>
  <c r="G15" i="24"/>
  <c r="H15" i="24"/>
  <c r="D16" i="24"/>
  <c r="E16" i="24"/>
  <c r="F16" i="24"/>
  <c r="G16" i="24"/>
  <c r="H16" i="24"/>
  <c r="D17" i="24"/>
  <c r="E17" i="24"/>
  <c r="F17" i="24"/>
  <c r="G17" i="24"/>
  <c r="H17" i="24"/>
  <c r="D18" i="24"/>
  <c r="E18" i="24"/>
  <c r="F18" i="24"/>
  <c r="G18" i="24"/>
  <c r="H18" i="24"/>
  <c r="D19" i="24"/>
  <c r="E19" i="24"/>
  <c r="F19" i="24"/>
  <c r="G19" i="24"/>
  <c r="H19" i="24"/>
  <c r="D20" i="24"/>
  <c r="E20" i="24"/>
  <c r="F20" i="24"/>
  <c r="G20" i="24"/>
  <c r="H20" i="24"/>
  <c r="D21" i="24"/>
  <c r="E21" i="24"/>
  <c r="F21" i="24"/>
  <c r="G21" i="24"/>
  <c r="H21" i="24"/>
  <c r="D22" i="24"/>
  <c r="E22" i="24"/>
  <c r="F22" i="24"/>
  <c r="G22" i="24"/>
  <c r="H22" i="24"/>
  <c r="D23" i="24"/>
  <c r="E23" i="24"/>
  <c r="F23" i="24"/>
  <c r="G23" i="24"/>
  <c r="H23" i="24"/>
  <c r="D24" i="24"/>
  <c r="E24" i="24"/>
  <c r="F24" i="24"/>
  <c r="G24" i="24"/>
  <c r="H24" i="24"/>
  <c r="D25" i="24"/>
  <c r="E25" i="24"/>
  <c r="F25" i="24"/>
  <c r="G25" i="24"/>
  <c r="H25" i="24"/>
  <c r="D26" i="24"/>
  <c r="E26" i="24"/>
  <c r="F26" i="24"/>
  <c r="G26" i="24"/>
  <c r="H26" i="24"/>
  <c r="D27" i="24"/>
  <c r="E8" i="24"/>
  <c r="F8" i="24"/>
  <c r="G8" i="24"/>
  <c r="H8" i="24"/>
  <c r="D8" i="24"/>
  <c r="C11" i="34" s="1" a="1"/>
  <c r="C11" i="34" s="1"/>
  <c r="C13" i="34" s="1"/>
  <c r="D111" i="18"/>
  <c r="E111" i="18"/>
  <c r="F111" i="18"/>
  <c r="G111" i="18"/>
  <c r="C111" i="18"/>
  <c r="G118" i="18"/>
  <c r="D118" i="18"/>
  <c r="E118" i="18"/>
  <c r="F118" i="18"/>
  <c r="C118" i="18"/>
  <c r="D110" i="18"/>
  <c r="E110" i="18"/>
  <c r="F110" i="18"/>
  <c r="G110" i="18"/>
  <c r="C110" i="18"/>
  <c r="D44" i="10" s="1"/>
  <c r="D109" i="18"/>
  <c r="E109" i="18"/>
  <c r="F109" i="18"/>
  <c r="G109" i="18"/>
  <c r="L5" i="10"/>
  <c r="L6" i="10"/>
  <c r="L7" i="10"/>
  <c r="L8" i="10"/>
  <c r="L9" i="10"/>
  <c r="L10" i="10"/>
  <c r="L11" i="10"/>
  <c r="L12" i="10"/>
  <c r="L13" i="10"/>
  <c r="L14" i="10"/>
  <c r="L15" i="10"/>
  <c r="L16" i="10"/>
  <c r="L17" i="10"/>
  <c r="L18" i="10"/>
  <c r="L19" i="10"/>
  <c r="L20" i="10"/>
  <c r="L21" i="10"/>
  <c r="L22" i="10"/>
  <c r="L23" i="10"/>
  <c r="L24" i="10"/>
  <c r="L25" i="10"/>
  <c r="L26" i="10"/>
  <c r="L27" i="10"/>
  <c r="L28" i="10"/>
  <c r="L29" i="10"/>
  <c r="L30" i="10"/>
  <c r="L31" i="10"/>
  <c r="L32" i="10"/>
  <c r="L33" i="10"/>
  <c r="L34" i="10"/>
  <c r="L35" i="10"/>
  <c r="L36" i="10"/>
  <c r="L37" i="10"/>
  <c r="L38" i="10"/>
  <c r="L39" i="10"/>
  <c r="L40" i="10"/>
  <c r="L41" i="10"/>
  <c r="L42" i="10"/>
  <c r="L43" i="10"/>
  <c r="L44" i="10"/>
  <c r="L45" i="10"/>
  <c r="L46" i="10"/>
  <c r="L47" i="10"/>
  <c r="L48" i="10"/>
  <c r="L49" i="10"/>
  <c r="L50" i="10"/>
  <c r="L51" i="10"/>
  <c r="L52" i="10"/>
  <c r="L53" i="10"/>
  <c r="L54" i="10"/>
  <c r="L55" i="10"/>
  <c r="L56" i="10"/>
  <c r="L57" i="10"/>
  <c r="L58" i="10"/>
  <c r="L59" i="10"/>
  <c r="L60" i="10"/>
  <c r="L61" i="10"/>
  <c r="L62" i="10"/>
  <c r="L63" i="10"/>
  <c r="L64" i="10"/>
  <c r="L65" i="10"/>
  <c r="L66" i="10"/>
  <c r="L67" i="10"/>
  <c r="L68" i="10"/>
  <c r="L69" i="10"/>
  <c r="L70" i="10"/>
  <c r="L71" i="10"/>
  <c r="L72" i="10"/>
  <c r="L73" i="10"/>
  <c r="L74" i="10"/>
  <c r="L75" i="10"/>
  <c r="L76" i="10"/>
  <c r="L77" i="10"/>
  <c r="L78" i="10"/>
  <c r="L79" i="10"/>
  <c r="L80" i="10"/>
  <c r="L81" i="10"/>
  <c r="L82" i="10"/>
  <c r="L83" i="10"/>
  <c r="L84" i="10"/>
  <c r="L4" i="10"/>
  <c r="F18" i="18" l="1"/>
  <c r="J169" i="18"/>
  <c r="B191" i="18" s="1"/>
  <c r="V4" i="37"/>
  <c r="W4" i="37" s="1"/>
  <c r="V4" i="38"/>
  <c r="W4" i="38" s="1"/>
  <c r="X4" i="38" s="1"/>
  <c r="Y4" i="38" s="1"/>
  <c r="Z4" i="38" s="1"/>
  <c r="J9" i="10"/>
  <c r="C11" i="17" a="1"/>
  <c r="C11" i="17" s="1"/>
  <c r="D11" i="17" a="1"/>
  <c r="D11" i="17" s="1"/>
  <c r="F11" i="17" a="1"/>
  <c r="F11" i="17" s="1"/>
  <c r="E11" i="17" a="1"/>
  <c r="E11" i="17" s="1"/>
  <c r="F11" i="39" a="1"/>
  <c r="F11" i="39" s="1"/>
  <c r="F13" i="39" s="1"/>
  <c r="G11" i="34" a="1"/>
  <c r="G11" i="34" s="1"/>
  <c r="G13" i="34" s="1"/>
  <c r="E11" i="34" a="1"/>
  <c r="E11" i="34" s="1"/>
  <c r="E13" i="34" s="1"/>
  <c r="D11" i="34" a="1"/>
  <c r="D11" i="34" s="1"/>
  <c r="D13" i="34" s="1"/>
  <c r="G11" i="39" a="1"/>
  <c r="G11" i="39" s="1"/>
  <c r="G13" i="39" s="1"/>
  <c r="F11" i="34" a="1"/>
  <c r="F11" i="34" s="1"/>
  <c r="F13" i="34" s="1"/>
  <c r="E6" i="42"/>
  <c r="C122" i="42" s="1"/>
  <c r="K25" i="23"/>
  <c r="E6" i="41"/>
  <c r="C122" i="41" s="1"/>
  <c r="K24" i="23"/>
  <c r="C133" i="33"/>
  <c r="E14" i="18"/>
  <c r="C130" i="18" s="1"/>
  <c r="F14" i="41"/>
  <c r="E14" i="41" s="1"/>
  <c r="C130" i="41" s="1"/>
  <c r="F14" i="42"/>
  <c r="E14" i="42" s="1"/>
  <c r="C130" i="42" s="1"/>
  <c r="C122" i="18"/>
  <c r="D81" i="10"/>
  <c r="D18" i="10"/>
  <c r="D42" i="10"/>
  <c r="D77" i="10"/>
  <c r="D54" i="10"/>
  <c r="D70" i="10"/>
  <c r="D55" i="10"/>
  <c r="D39" i="10"/>
  <c r="D23" i="10"/>
  <c r="D7" i="10"/>
  <c r="D72" i="10"/>
  <c r="D53" i="10"/>
  <c r="D37" i="10"/>
  <c r="D21" i="10"/>
  <c r="D5" i="10"/>
  <c r="D79" i="10"/>
  <c r="D63" i="10"/>
  <c r="D48" i="10"/>
  <c r="D32" i="10"/>
  <c r="D16" i="10"/>
  <c r="D65" i="10"/>
  <c r="D26" i="10"/>
  <c r="D61" i="10"/>
  <c r="D38" i="10"/>
  <c r="D82" i="10"/>
  <c r="D66" i="10"/>
  <c r="D51" i="10"/>
  <c r="D35" i="10"/>
  <c r="D19" i="10"/>
  <c r="D84" i="10"/>
  <c r="D68" i="10"/>
  <c r="D49" i="10"/>
  <c r="D33" i="10"/>
  <c r="D17" i="10"/>
  <c r="D75" i="10"/>
  <c r="D59" i="10"/>
  <c r="D28" i="10"/>
  <c r="D12" i="10"/>
  <c r="F110" i="42"/>
  <c r="F110" i="33"/>
  <c r="F110" i="41"/>
  <c r="C111" i="41"/>
  <c r="C111" i="42"/>
  <c r="C111" i="33"/>
  <c r="E118" i="42"/>
  <c r="E118" i="33"/>
  <c r="E118" i="41"/>
  <c r="C110" i="42"/>
  <c r="C110" i="33"/>
  <c r="V60" i="30" s="1"/>
  <c r="C110" i="41"/>
  <c r="V39" i="31" s="1"/>
  <c r="D118" i="41"/>
  <c r="D118" i="42"/>
  <c r="D118" i="33"/>
  <c r="F111" i="41"/>
  <c r="F111" i="42"/>
  <c r="F111" i="33"/>
  <c r="D50" i="10"/>
  <c r="D46" i="10"/>
  <c r="D73" i="10"/>
  <c r="D10" i="10"/>
  <c r="D30" i="10"/>
  <c r="D4" i="10"/>
  <c r="D22" i="10"/>
  <c r="D78" i="10"/>
  <c r="D62" i="10"/>
  <c r="D47" i="10"/>
  <c r="D31" i="10"/>
  <c r="D15" i="10"/>
  <c r="D80" i="10"/>
  <c r="D64" i="10"/>
  <c r="D45" i="10"/>
  <c r="D29" i="10"/>
  <c r="D13" i="10"/>
  <c r="D71" i="10"/>
  <c r="D56" i="10"/>
  <c r="D40" i="10"/>
  <c r="D24" i="10"/>
  <c r="D8" i="10"/>
  <c r="E109" i="41"/>
  <c r="E109" i="42"/>
  <c r="E109" i="33"/>
  <c r="F118" i="42"/>
  <c r="F118" i="33"/>
  <c r="F118" i="41"/>
  <c r="D111" i="42"/>
  <c r="D111" i="33"/>
  <c r="D111" i="41"/>
  <c r="D109" i="42"/>
  <c r="D109" i="33"/>
  <c r="D109" i="41"/>
  <c r="E110" i="41"/>
  <c r="E110" i="42"/>
  <c r="E110" i="33"/>
  <c r="G111" i="41"/>
  <c r="G111" i="42"/>
  <c r="G111" i="33"/>
  <c r="G109" i="42"/>
  <c r="G109" i="33"/>
  <c r="G109" i="41"/>
  <c r="D110" i="41"/>
  <c r="D110" i="33"/>
  <c r="D110" i="42"/>
  <c r="F109" i="41"/>
  <c r="F109" i="42"/>
  <c r="F109" i="33"/>
  <c r="G110" i="42"/>
  <c r="G110" i="33"/>
  <c r="G110" i="41"/>
  <c r="C118" i="41"/>
  <c r="C118" i="33"/>
  <c r="C118" i="42"/>
  <c r="V78" i="38"/>
  <c r="W78" i="38" s="1"/>
  <c r="X78" i="38" s="1"/>
  <c r="Y78" i="38" s="1"/>
  <c r="Z78" i="38" s="1"/>
  <c r="V76" i="38"/>
  <c r="W76" i="38" s="1"/>
  <c r="X76" i="38" s="1"/>
  <c r="Y76" i="38" s="1"/>
  <c r="Z76" i="38" s="1"/>
  <c r="V81" i="38"/>
  <c r="W81" i="38" s="1"/>
  <c r="X81" i="38" s="1"/>
  <c r="Y81" i="38" s="1"/>
  <c r="Z81" i="38" s="1"/>
  <c r="V75" i="38"/>
  <c r="W75" i="38" s="1"/>
  <c r="X75" i="38" s="1"/>
  <c r="Y75" i="38" s="1"/>
  <c r="Z75" i="38" s="1"/>
  <c r="V50" i="38"/>
  <c r="W50" i="38" s="1"/>
  <c r="X50" i="38" s="1"/>
  <c r="Y50" i="38" s="1"/>
  <c r="Z50" i="38" s="1"/>
  <c r="V38" i="38"/>
  <c r="W38" i="38" s="1"/>
  <c r="X38" i="38" s="1"/>
  <c r="Y38" i="38" s="1"/>
  <c r="Z38" i="38" s="1"/>
  <c r="V26" i="38"/>
  <c r="W26" i="38" s="1"/>
  <c r="X26" i="38" s="1"/>
  <c r="Y26" i="38" s="1"/>
  <c r="Z26" i="38" s="1"/>
  <c r="V18" i="38"/>
  <c r="W18" i="38" s="1"/>
  <c r="X18" i="38" s="1"/>
  <c r="Y18" i="38" s="1"/>
  <c r="Z18" i="38" s="1"/>
  <c r="V59" i="38"/>
  <c r="W59" i="38" s="1"/>
  <c r="X59" i="38" s="1"/>
  <c r="Y59" i="38" s="1"/>
  <c r="Z59" i="38" s="1"/>
  <c r="V47" i="38"/>
  <c r="W47" i="38" s="1"/>
  <c r="X47" i="38" s="1"/>
  <c r="Y47" i="38" s="1"/>
  <c r="Z47" i="38" s="1"/>
  <c r="V41" i="38"/>
  <c r="W41" i="38" s="1"/>
  <c r="X41" i="38" s="1"/>
  <c r="Y41" i="38" s="1"/>
  <c r="Z41" i="38" s="1"/>
  <c r="V7" i="38"/>
  <c r="W7" i="38" s="1"/>
  <c r="X7" i="38" s="1"/>
  <c r="Y7" i="38" s="1"/>
  <c r="Z7" i="38" s="1"/>
  <c r="V73" i="38"/>
  <c r="W73" i="38" s="1"/>
  <c r="X73" i="38" s="1"/>
  <c r="Y73" i="38" s="1"/>
  <c r="Z73" i="38" s="1"/>
  <c r="V33" i="38"/>
  <c r="W33" i="38" s="1"/>
  <c r="X33" i="38" s="1"/>
  <c r="Y33" i="38" s="1"/>
  <c r="Z33" i="38" s="1"/>
  <c r="V49" i="38"/>
  <c r="W49" i="38" s="1"/>
  <c r="X49" i="38" s="1"/>
  <c r="Y49" i="38" s="1"/>
  <c r="Z49" i="38" s="1"/>
  <c r="V66" i="37"/>
  <c r="W66" i="37" s="1"/>
  <c r="X66" i="37" s="1"/>
  <c r="Y66" i="37" s="1"/>
  <c r="Z66" i="37" s="1"/>
  <c r="V80" i="37"/>
  <c r="W80" i="37" s="1"/>
  <c r="X80" i="37" s="1"/>
  <c r="Y80" i="37" s="1"/>
  <c r="Z80" i="37" s="1"/>
  <c r="V61" i="37"/>
  <c r="W61" i="37" s="1"/>
  <c r="X61" i="37" s="1"/>
  <c r="Y61" i="37" s="1"/>
  <c r="Z61" i="37" s="1"/>
  <c r="V81" i="37"/>
  <c r="W81" i="37" s="1"/>
  <c r="X81" i="37" s="1"/>
  <c r="Y81" i="37" s="1"/>
  <c r="Z81" i="37" s="1"/>
  <c r="V73" i="37"/>
  <c r="W73" i="37" s="1"/>
  <c r="X73" i="37" s="1"/>
  <c r="Y73" i="37" s="1"/>
  <c r="Z73" i="37" s="1"/>
  <c r="V65" i="37"/>
  <c r="W65" i="37" s="1"/>
  <c r="X65" i="37" s="1"/>
  <c r="Y65" i="37" s="1"/>
  <c r="Z65" i="37" s="1"/>
  <c r="V9" i="37"/>
  <c r="W9" i="37" s="1"/>
  <c r="X9" i="37" s="1"/>
  <c r="Y9" i="37" s="1"/>
  <c r="Z9" i="37" s="1"/>
  <c r="V17" i="37"/>
  <c r="W17" i="37" s="1"/>
  <c r="X17" i="37" s="1"/>
  <c r="Y17" i="37" s="1"/>
  <c r="Z17" i="37" s="1"/>
  <c r="V12" i="37"/>
  <c r="W12" i="37" s="1"/>
  <c r="X12" i="37" s="1"/>
  <c r="Y12" i="37" s="1"/>
  <c r="Z12" i="37" s="1"/>
  <c r="V24" i="37"/>
  <c r="W24" i="37" s="1"/>
  <c r="X24" i="37" s="1"/>
  <c r="Y24" i="37" s="1"/>
  <c r="Z24" i="37" s="1"/>
  <c r="V64" i="38"/>
  <c r="W64" i="38" s="1"/>
  <c r="X64" i="38" s="1"/>
  <c r="Y64" i="38" s="1"/>
  <c r="Z64" i="38" s="1"/>
  <c r="V58" i="38"/>
  <c r="W58" i="38" s="1"/>
  <c r="X58" i="38" s="1"/>
  <c r="Y58" i="38" s="1"/>
  <c r="Z58" i="38" s="1"/>
  <c r="V77" i="38"/>
  <c r="W77" i="38" s="1"/>
  <c r="X77" i="38" s="1"/>
  <c r="Y77" i="38" s="1"/>
  <c r="Z77" i="38" s="1"/>
  <c r="V46" i="38"/>
  <c r="W46" i="38" s="1"/>
  <c r="X46" i="38" s="1"/>
  <c r="Y46" i="38" s="1"/>
  <c r="Z46" i="38" s="1"/>
  <c r="V79" i="38"/>
  <c r="W79" i="38" s="1"/>
  <c r="X79" i="38" s="1"/>
  <c r="Y79" i="38" s="1"/>
  <c r="Z79" i="38" s="1"/>
  <c r="V6" i="38"/>
  <c r="W6" i="38" s="1"/>
  <c r="X6" i="38" s="1"/>
  <c r="Y6" i="38" s="1"/>
  <c r="Z6" i="38" s="1"/>
  <c r="V14" i="38"/>
  <c r="W14" i="38" s="1"/>
  <c r="X14" i="38" s="1"/>
  <c r="Y14" i="38" s="1"/>
  <c r="Z14" i="38" s="1"/>
  <c r="V37" i="37"/>
  <c r="W37" i="37" s="1"/>
  <c r="X37" i="37" s="1"/>
  <c r="Y37" i="37" s="1"/>
  <c r="Z37" i="37" s="1"/>
  <c r="V10" i="37"/>
  <c r="W10" i="37" s="1"/>
  <c r="X10" i="37" s="1"/>
  <c r="Y10" i="37" s="1"/>
  <c r="Z10" i="37" s="1"/>
  <c r="V42" i="37"/>
  <c r="W42" i="37" s="1"/>
  <c r="X42" i="37" s="1"/>
  <c r="Y42" i="37" s="1"/>
  <c r="Z42" i="37" s="1"/>
  <c r="V83" i="38"/>
  <c r="W83" i="38" s="1"/>
  <c r="X83" i="38" s="1"/>
  <c r="Y83" i="38" s="1"/>
  <c r="Z83" i="38" s="1"/>
  <c r="V67" i="38"/>
  <c r="W67" i="38" s="1"/>
  <c r="X67" i="38" s="1"/>
  <c r="Y67" i="38" s="1"/>
  <c r="Z67" i="38" s="1"/>
  <c r="V22" i="38"/>
  <c r="W22" i="38" s="1"/>
  <c r="X22" i="38" s="1"/>
  <c r="Y22" i="38" s="1"/>
  <c r="Z22" i="38" s="1"/>
  <c r="V53" i="38"/>
  <c r="W53" i="38" s="1"/>
  <c r="X53" i="38" s="1"/>
  <c r="Y53" i="38" s="1"/>
  <c r="Z53" i="38" s="1"/>
  <c r="V51" i="38"/>
  <c r="W51" i="38" s="1"/>
  <c r="X51" i="38" s="1"/>
  <c r="Y51" i="38" s="1"/>
  <c r="Z51" i="38" s="1"/>
  <c r="V12" i="38"/>
  <c r="W12" i="38" s="1"/>
  <c r="X12" i="38" s="1"/>
  <c r="Y12" i="38" s="1"/>
  <c r="Z12" i="38" s="1"/>
  <c r="V24" i="38"/>
  <c r="W24" i="38" s="1"/>
  <c r="X24" i="38" s="1"/>
  <c r="Y24" i="38" s="1"/>
  <c r="Z24" i="38" s="1"/>
  <c r="V17" i="38"/>
  <c r="W17" i="38" s="1"/>
  <c r="X17" i="38" s="1"/>
  <c r="Y17" i="38" s="1"/>
  <c r="Z17" i="38" s="1"/>
  <c r="V82" i="37"/>
  <c r="W82" i="37" s="1"/>
  <c r="X82" i="37" s="1"/>
  <c r="Y82" i="37" s="1"/>
  <c r="Z82" i="37" s="1"/>
  <c r="V64" i="37"/>
  <c r="W64" i="37" s="1"/>
  <c r="X64" i="37" s="1"/>
  <c r="Y64" i="37" s="1"/>
  <c r="Z64" i="37" s="1"/>
  <c r="V77" i="37"/>
  <c r="W77" i="37" s="1"/>
  <c r="X77" i="37" s="1"/>
  <c r="Y77" i="37" s="1"/>
  <c r="Z77" i="37" s="1"/>
  <c r="V69" i="37"/>
  <c r="W69" i="37" s="1"/>
  <c r="X69" i="37" s="1"/>
  <c r="Y69" i="37" s="1"/>
  <c r="Z69" i="37" s="1"/>
  <c r="V39" i="37"/>
  <c r="W39" i="37" s="1"/>
  <c r="X39" i="37" s="1"/>
  <c r="Y39" i="37" s="1"/>
  <c r="Z39" i="37" s="1"/>
  <c r="V36" i="37"/>
  <c r="W36" i="37" s="1"/>
  <c r="X36" i="37" s="1"/>
  <c r="Y36" i="37" s="1"/>
  <c r="Z36" i="37" s="1"/>
  <c r="V13" i="37"/>
  <c r="W13" i="37" s="1"/>
  <c r="X13" i="37" s="1"/>
  <c r="Y13" i="37" s="1"/>
  <c r="Z13" i="37" s="1"/>
  <c r="V34" i="37"/>
  <c r="W34" i="37" s="1"/>
  <c r="X34" i="37" s="1"/>
  <c r="Y34" i="37" s="1"/>
  <c r="Z34" i="37" s="1"/>
  <c r="V7" i="37"/>
  <c r="W7" i="37" s="1"/>
  <c r="X7" i="37" s="1"/>
  <c r="Y7" i="37" s="1"/>
  <c r="Z7" i="37" s="1"/>
  <c r="V28" i="37"/>
  <c r="W28" i="37" s="1"/>
  <c r="X28" i="37" s="1"/>
  <c r="Y28" i="37" s="1"/>
  <c r="Z28" i="37" s="1"/>
  <c r="V53" i="37"/>
  <c r="W53" i="37" s="1"/>
  <c r="X53" i="37" s="1"/>
  <c r="Y53" i="37" s="1"/>
  <c r="Z53" i="37" s="1"/>
  <c r="V44" i="37"/>
  <c r="W44" i="37" s="1"/>
  <c r="X44" i="37" s="1"/>
  <c r="Y44" i="37" s="1"/>
  <c r="Z44" i="37" s="1"/>
  <c r="V8" i="37"/>
  <c r="W8" i="37" s="1"/>
  <c r="X8" i="37" s="1"/>
  <c r="Y8" i="37" s="1"/>
  <c r="Z8" i="37" s="1"/>
  <c r="V31" i="37"/>
  <c r="W31" i="37" s="1"/>
  <c r="X31" i="37" s="1"/>
  <c r="Y31" i="37" s="1"/>
  <c r="Z31" i="37" s="1"/>
  <c r="V25" i="38"/>
  <c r="W25" i="38" s="1"/>
  <c r="X25" i="38" s="1"/>
  <c r="Y25" i="38" s="1"/>
  <c r="Z25" i="38" s="1"/>
  <c r="V52" i="37"/>
  <c r="W52" i="37" s="1"/>
  <c r="X52" i="37" s="1"/>
  <c r="Y52" i="37" s="1"/>
  <c r="Z52" i="37" s="1"/>
  <c r="V51" i="37"/>
  <c r="W51" i="37" s="1"/>
  <c r="X51" i="37" s="1"/>
  <c r="Y51" i="37" s="1"/>
  <c r="Z51" i="37" s="1"/>
  <c r="V15" i="37"/>
  <c r="W15" i="37" s="1"/>
  <c r="X15" i="37" s="1"/>
  <c r="Y15" i="37" s="1"/>
  <c r="Z15" i="37" s="1"/>
  <c r="V70" i="38"/>
  <c r="W70" i="38" s="1"/>
  <c r="X70" i="38" s="1"/>
  <c r="Y70" i="38" s="1"/>
  <c r="Z70" i="38" s="1"/>
  <c r="V68" i="38"/>
  <c r="W68" i="38" s="1"/>
  <c r="X68" i="38" s="1"/>
  <c r="Y68" i="38" s="1"/>
  <c r="Z68" i="38" s="1"/>
  <c r="V69" i="38"/>
  <c r="W69" i="38" s="1"/>
  <c r="X69" i="38" s="1"/>
  <c r="Y69" i="38" s="1"/>
  <c r="Z69" i="38" s="1"/>
  <c r="V71" i="38"/>
  <c r="W71" i="38" s="1"/>
  <c r="X71" i="38" s="1"/>
  <c r="Y71" i="38" s="1"/>
  <c r="Z71" i="38" s="1"/>
  <c r="V65" i="38"/>
  <c r="W65" i="38" s="1"/>
  <c r="X65" i="38" s="1"/>
  <c r="Y65" i="38" s="1"/>
  <c r="Z65" i="38" s="1"/>
  <c r="V31" i="38"/>
  <c r="W31" i="38" s="1"/>
  <c r="X31" i="38" s="1"/>
  <c r="Y31" i="38" s="1"/>
  <c r="Z31" i="38" s="1"/>
  <c r="V20" i="38"/>
  <c r="W20" i="38" s="1"/>
  <c r="X20" i="38" s="1"/>
  <c r="Y20" i="38" s="1"/>
  <c r="Z20" i="38" s="1"/>
  <c r="V10" i="38"/>
  <c r="W10" i="38" s="1"/>
  <c r="X10" i="38" s="1"/>
  <c r="Y10" i="38" s="1"/>
  <c r="Z10" i="38" s="1"/>
  <c r="V55" i="38"/>
  <c r="W55" i="38" s="1"/>
  <c r="X55" i="38" s="1"/>
  <c r="Y55" i="38" s="1"/>
  <c r="Z55" i="38" s="1"/>
  <c r="V35" i="38"/>
  <c r="W35" i="38" s="1"/>
  <c r="X35" i="38" s="1"/>
  <c r="Y35" i="38" s="1"/>
  <c r="Z35" i="38" s="1"/>
  <c r="V72" i="37"/>
  <c r="W72" i="37" s="1"/>
  <c r="X72" i="37" s="1"/>
  <c r="Y72" i="37" s="1"/>
  <c r="Z72" i="37" s="1"/>
  <c r="V54" i="37"/>
  <c r="W54" i="37" s="1"/>
  <c r="X54" i="37" s="1"/>
  <c r="Y54" i="37" s="1"/>
  <c r="Z54" i="37" s="1"/>
  <c r="V47" i="37"/>
  <c r="W47" i="37" s="1"/>
  <c r="X47" i="37" s="1"/>
  <c r="Y47" i="37" s="1"/>
  <c r="Z47" i="37" s="1"/>
  <c r="V25" i="37"/>
  <c r="W25" i="37" s="1"/>
  <c r="X25" i="37" s="1"/>
  <c r="Y25" i="37" s="1"/>
  <c r="Z25" i="37" s="1"/>
  <c r="V45" i="38"/>
  <c r="W45" i="38" s="1"/>
  <c r="X45" i="38" s="1"/>
  <c r="Y45" i="38" s="1"/>
  <c r="Z45" i="38" s="1"/>
  <c r="V74" i="37"/>
  <c r="W74" i="37" s="1"/>
  <c r="X74" i="37" s="1"/>
  <c r="Y74" i="37" s="1"/>
  <c r="Z74" i="37" s="1"/>
  <c r="V55" i="37"/>
  <c r="W55" i="37" s="1"/>
  <c r="X55" i="37" s="1"/>
  <c r="Y55" i="37" s="1"/>
  <c r="Z55" i="37" s="1"/>
  <c r="V29" i="37"/>
  <c r="W29" i="37" s="1"/>
  <c r="X29" i="37" s="1"/>
  <c r="Y29" i="37" s="1"/>
  <c r="Z29" i="37" s="1"/>
  <c r="V67" i="37"/>
  <c r="W67" i="37" s="1"/>
  <c r="X67" i="37" s="1"/>
  <c r="Y67" i="37" s="1"/>
  <c r="Z67" i="37" s="1"/>
  <c r="V35" i="37"/>
  <c r="W35" i="37" s="1"/>
  <c r="X35" i="37" s="1"/>
  <c r="Y35" i="37" s="1"/>
  <c r="Z35" i="37" s="1"/>
  <c r="V76" i="37"/>
  <c r="W76" i="37" s="1"/>
  <c r="X76" i="37" s="1"/>
  <c r="Y76" i="37" s="1"/>
  <c r="Z76" i="37" s="1"/>
  <c r="V78" i="37"/>
  <c r="W78" i="37" s="1"/>
  <c r="X78" i="37" s="1"/>
  <c r="Y78" i="37" s="1"/>
  <c r="Z78" i="37" s="1"/>
  <c r="V43" i="38"/>
  <c r="W43" i="38" s="1"/>
  <c r="X43" i="38" s="1"/>
  <c r="Y43" i="38" s="1"/>
  <c r="Z43" i="38" s="1"/>
  <c r="V66" i="38"/>
  <c r="W66" i="38" s="1"/>
  <c r="X66" i="38" s="1"/>
  <c r="Y66" i="38" s="1"/>
  <c r="Z66" i="38" s="1"/>
  <c r="V20" i="37"/>
  <c r="W20" i="37" s="1"/>
  <c r="X20" i="37" s="1"/>
  <c r="Y20" i="37" s="1"/>
  <c r="Z20" i="37" s="1"/>
  <c r="V62" i="38"/>
  <c r="W62" i="38" s="1"/>
  <c r="X62" i="38" s="1"/>
  <c r="Y62" i="38" s="1"/>
  <c r="Z62" i="38" s="1"/>
  <c r="V16" i="37"/>
  <c r="W16" i="37" s="1"/>
  <c r="X16" i="37" s="1"/>
  <c r="Y16" i="37" s="1"/>
  <c r="Z16" i="37" s="1"/>
  <c r="V30" i="37"/>
  <c r="W30" i="37" s="1"/>
  <c r="X30" i="37" s="1"/>
  <c r="Y30" i="37" s="1"/>
  <c r="Z30" i="37" s="1"/>
  <c r="V62" i="37"/>
  <c r="W62" i="37" s="1"/>
  <c r="X62" i="37" s="1"/>
  <c r="Y62" i="37" s="1"/>
  <c r="Z62" i="37" s="1"/>
  <c r="V36" i="38"/>
  <c r="W36" i="38" s="1"/>
  <c r="X36" i="38" s="1"/>
  <c r="Y36" i="38" s="1"/>
  <c r="Z36" i="38" s="1"/>
  <c r="V13" i="38"/>
  <c r="W13" i="38" s="1"/>
  <c r="X13" i="38" s="1"/>
  <c r="Y13" i="38" s="1"/>
  <c r="Z13" i="38" s="1"/>
  <c r="V56" i="38"/>
  <c r="W56" i="38" s="1"/>
  <c r="X56" i="38" s="1"/>
  <c r="Y56" i="38" s="1"/>
  <c r="Z56" i="38" s="1"/>
  <c r="V14" i="37"/>
  <c r="W14" i="37" s="1"/>
  <c r="X14" i="37" s="1"/>
  <c r="Y14" i="37" s="1"/>
  <c r="Z14" i="37" s="1"/>
  <c r="V42" i="38"/>
  <c r="W42" i="38" s="1"/>
  <c r="X42" i="38" s="1"/>
  <c r="Y42" i="38" s="1"/>
  <c r="Z42" i="38" s="1"/>
  <c r="V74" i="38"/>
  <c r="W74" i="38" s="1"/>
  <c r="X74" i="38" s="1"/>
  <c r="Y74" i="38" s="1"/>
  <c r="Z74" i="38" s="1"/>
  <c r="V6" i="37"/>
  <c r="W6" i="37" s="1"/>
  <c r="X6" i="37" s="1"/>
  <c r="Y6" i="37" s="1"/>
  <c r="Z6" i="37" s="1"/>
  <c r="V43" i="37"/>
  <c r="W43" i="37" s="1"/>
  <c r="X43" i="37" s="1"/>
  <c r="Y43" i="37" s="1"/>
  <c r="Z43" i="37" s="1"/>
  <c r="V16" i="38"/>
  <c r="W16" i="38" s="1"/>
  <c r="X16" i="38" s="1"/>
  <c r="Y16" i="38" s="1"/>
  <c r="Z16" i="38" s="1"/>
  <c r="V30" i="38"/>
  <c r="W30" i="38" s="1"/>
  <c r="X30" i="38" s="1"/>
  <c r="Y30" i="38" s="1"/>
  <c r="Z30" i="38" s="1"/>
  <c r="V48" i="38"/>
  <c r="W48" i="38" s="1"/>
  <c r="X48" i="38" s="1"/>
  <c r="Y48" i="38" s="1"/>
  <c r="Z48" i="38" s="1"/>
  <c r="V38" i="37"/>
  <c r="W38" i="37" s="1"/>
  <c r="X38" i="37" s="1"/>
  <c r="Y38" i="37" s="1"/>
  <c r="Z38" i="37" s="1"/>
  <c r="V58" i="37"/>
  <c r="W58" i="37" s="1"/>
  <c r="X58" i="37" s="1"/>
  <c r="Y58" i="37" s="1"/>
  <c r="Z58" i="37" s="1"/>
  <c r="V44" i="38"/>
  <c r="W44" i="38" s="1"/>
  <c r="X44" i="38" s="1"/>
  <c r="Y44" i="38" s="1"/>
  <c r="Z44" i="38" s="1"/>
  <c r="V52" i="38"/>
  <c r="W52" i="38" s="1"/>
  <c r="X52" i="38" s="1"/>
  <c r="Y52" i="38" s="1"/>
  <c r="Z52" i="38" s="1"/>
  <c r="V82" i="38"/>
  <c r="W82" i="38" s="1"/>
  <c r="X82" i="38" s="1"/>
  <c r="Y82" i="38" s="1"/>
  <c r="Z82" i="38" s="1"/>
  <c r="V79" i="37"/>
  <c r="W79" i="37" s="1"/>
  <c r="X79" i="37" s="1"/>
  <c r="Y79" i="37" s="1"/>
  <c r="Z79" i="37" s="1"/>
  <c r="V41" i="37"/>
  <c r="W41" i="37" s="1"/>
  <c r="X41" i="37" s="1"/>
  <c r="Y41" i="37" s="1"/>
  <c r="Z41" i="37" s="1"/>
  <c r="V32" i="37"/>
  <c r="W32" i="37" s="1"/>
  <c r="X32" i="37" s="1"/>
  <c r="Y32" i="37" s="1"/>
  <c r="Z32" i="37" s="1"/>
  <c r="V22" i="37"/>
  <c r="W22" i="37" s="1"/>
  <c r="X22" i="37" s="1"/>
  <c r="Y22" i="37" s="1"/>
  <c r="Z22" i="37" s="1"/>
  <c r="V84" i="37"/>
  <c r="W84" i="37" s="1"/>
  <c r="X84" i="37" s="1"/>
  <c r="Y84" i="37" s="1"/>
  <c r="Z84" i="37" s="1"/>
  <c r="V54" i="38"/>
  <c r="W54" i="38" s="1"/>
  <c r="X54" i="38" s="1"/>
  <c r="Y54" i="38" s="1"/>
  <c r="Z54" i="38" s="1"/>
  <c r="V27" i="38"/>
  <c r="W27" i="38" s="1"/>
  <c r="X27" i="38" s="1"/>
  <c r="Y27" i="38" s="1"/>
  <c r="Z27" i="38" s="1"/>
  <c r="V57" i="38"/>
  <c r="W57" i="38" s="1"/>
  <c r="X57" i="38" s="1"/>
  <c r="Y57" i="38" s="1"/>
  <c r="Z57" i="38" s="1"/>
  <c r="V56" i="37"/>
  <c r="W56" i="37" s="1"/>
  <c r="X56" i="37" s="1"/>
  <c r="Y56" i="37" s="1"/>
  <c r="Z56" i="37" s="1"/>
  <c r="V28" i="38"/>
  <c r="W28" i="38" s="1"/>
  <c r="X28" i="38" s="1"/>
  <c r="Y28" i="38" s="1"/>
  <c r="Z28" i="38" s="1"/>
  <c r="V80" i="38"/>
  <c r="W80" i="38" s="1"/>
  <c r="X80" i="38" s="1"/>
  <c r="Y80" i="38" s="1"/>
  <c r="Z80" i="38" s="1"/>
  <c r="V45" i="37"/>
  <c r="W45" i="37" s="1"/>
  <c r="X45" i="37" s="1"/>
  <c r="Y45" i="37" s="1"/>
  <c r="Z45" i="37" s="1"/>
  <c r="V46" i="37"/>
  <c r="W46" i="37" s="1"/>
  <c r="X46" i="37" s="1"/>
  <c r="Y46" i="37" s="1"/>
  <c r="Z46" i="37" s="1"/>
  <c r="V34" i="38"/>
  <c r="W34" i="38" s="1"/>
  <c r="X34" i="38" s="1"/>
  <c r="Y34" i="38" s="1"/>
  <c r="Z34" i="38" s="1"/>
  <c r="V61" i="38"/>
  <c r="W61" i="38" s="1"/>
  <c r="X61" i="38" s="1"/>
  <c r="Y61" i="38" s="1"/>
  <c r="Z61" i="38" s="1"/>
  <c r="V37" i="38"/>
  <c r="W37" i="38" s="1"/>
  <c r="X37" i="38" s="1"/>
  <c r="Y37" i="38" s="1"/>
  <c r="Z37" i="38" s="1"/>
  <c r="V59" i="37"/>
  <c r="W59" i="37" s="1"/>
  <c r="X59" i="37" s="1"/>
  <c r="Y59" i="37" s="1"/>
  <c r="Z59" i="37" s="1"/>
  <c r="V63" i="37"/>
  <c r="W63" i="37" s="1"/>
  <c r="X63" i="37" s="1"/>
  <c r="Y63" i="37" s="1"/>
  <c r="Z63" i="37" s="1"/>
  <c r="V23" i="38"/>
  <c r="W23" i="38" s="1"/>
  <c r="X23" i="38" s="1"/>
  <c r="Y23" i="38" s="1"/>
  <c r="Z23" i="38" s="1"/>
  <c r="V21" i="38"/>
  <c r="W21" i="38" s="1"/>
  <c r="X21" i="38" s="1"/>
  <c r="Y21" i="38" s="1"/>
  <c r="Z21" i="38" s="1"/>
  <c r="V84" i="38"/>
  <c r="W84" i="38" s="1"/>
  <c r="X84" i="38" s="1"/>
  <c r="Y84" i="38" s="1"/>
  <c r="Z84" i="38" s="1"/>
  <c r="V8" i="38"/>
  <c r="W8" i="38" s="1"/>
  <c r="X8" i="38" s="1"/>
  <c r="Y8" i="38" s="1"/>
  <c r="Z8" i="38" s="1"/>
  <c r="V11" i="37"/>
  <c r="W11" i="37" s="1"/>
  <c r="X11" i="37" s="1"/>
  <c r="Y11" i="37" s="1"/>
  <c r="Z11" i="37" s="1"/>
  <c r="V19" i="37"/>
  <c r="W19" i="37" s="1"/>
  <c r="X19" i="37" s="1"/>
  <c r="Y19" i="37" s="1"/>
  <c r="Z19" i="37" s="1"/>
  <c r="V50" i="37"/>
  <c r="W50" i="37" s="1"/>
  <c r="X50" i="37" s="1"/>
  <c r="Y50" i="37" s="1"/>
  <c r="Z50" i="37" s="1"/>
  <c r="V57" i="37"/>
  <c r="W57" i="37" s="1"/>
  <c r="X57" i="37" s="1"/>
  <c r="Y57" i="37" s="1"/>
  <c r="Z57" i="37" s="1"/>
  <c r="V39" i="38"/>
  <c r="W39" i="38" s="1"/>
  <c r="X39" i="38" s="1"/>
  <c r="Y39" i="38" s="1"/>
  <c r="Z39" i="38" s="1"/>
  <c r="V5" i="38"/>
  <c r="W5" i="38" s="1"/>
  <c r="X5" i="38" s="1"/>
  <c r="Y5" i="38" s="1"/>
  <c r="Z5" i="38" s="1"/>
  <c r="V63" i="38"/>
  <c r="W63" i="38" s="1"/>
  <c r="X63" i="38" s="1"/>
  <c r="Y63" i="38" s="1"/>
  <c r="Z63" i="38" s="1"/>
  <c r="V49" i="37"/>
  <c r="W49" i="37" s="1"/>
  <c r="X49" i="37" s="1"/>
  <c r="Y49" i="37" s="1"/>
  <c r="Z49" i="37" s="1"/>
  <c r="V15" i="38"/>
  <c r="W15" i="38" s="1"/>
  <c r="X15" i="38" s="1"/>
  <c r="Y15" i="38" s="1"/>
  <c r="Z15" i="38" s="1"/>
  <c r="V21" i="37"/>
  <c r="W21" i="37" s="1"/>
  <c r="X21" i="37" s="1"/>
  <c r="Y21" i="37" s="1"/>
  <c r="Z21" i="37" s="1"/>
  <c r="V60" i="37"/>
  <c r="W60" i="37" s="1"/>
  <c r="X60" i="37" s="1"/>
  <c r="Y60" i="37" s="1"/>
  <c r="Z60" i="37" s="1"/>
  <c r="V9" i="38"/>
  <c r="W9" i="38" s="1"/>
  <c r="X9" i="38" s="1"/>
  <c r="Y9" i="38" s="1"/>
  <c r="Z9" i="38" s="1"/>
  <c r="V23" i="37"/>
  <c r="W23" i="37" s="1"/>
  <c r="X23" i="37" s="1"/>
  <c r="Y23" i="37" s="1"/>
  <c r="Z23" i="37" s="1"/>
  <c r="V68" i="37"/>
  <c r="W68" i="37" s="1"/>
  <c r="X68" i="37" s="1"/>
  <c r="Y68" i="37" s="1"/>
  <c r="Z68" i="37" s="1"/>
  <c r="V83" i="37"/>
  <c r="W83" i="37" s="1"/>
  <c r="X83" i="37" s="1"/>
  <c r="Y83" i="37" s="1"/>
  <c r="Z83" i="37" s="1"/>
  <c r="V11" i="38"/>
  <c r="W11" i="38" s="1"/>
  <c r="X11" i="38" s="1"/>
  <c r="Y11" i="38" s="1"/>
  <c r="Z11" i="38" s="1"/>
  <c r="V29" i="38"/>
  <c r="W29" i="38" s="1"/>
  <c r="X29" i="38" s="1"/>
  <c r="Y29" i="38" s="1"/>
  <c r="Z29" i="38" s="1"/>
  <c r="V5" i="37"/>
  <c r="W5" i="37" s="1"/>
  <c r="X5" i="37" s="1"/>
  <c r="Y5" i="37" s="1"/>
  <c r="Z5" i="37" s="1"/>
  <c r="V32" i="38"/>
  <c r="W32" i="38" s="1"/>
  <c r="X32" i="38" s="1"/>
  <c r="Y32" i="38" s="1"/>
  <c r="Z32" i="38" s="1"/>
  <c r="V26" i="37"/>
  <c r="W26" i="37" s="1"/>
  <c r="X26" i="37" s="1"/>
  <c r="Y26" i="37" s="1"/>
  <c r="Z26" i="37" s="1"/>
  <c r="V18" i="37"/>
  <c r="W18" i="37" s="1"/>
  <c r="X18" i="37" s="1"/>
  <c r="Y18" i="37" s="1"/>
  <c r="Z18" i="37" s="1"/>
  <c r="V48" i="37"/>
  <c r="W48" i="37" s="1"/>
  <c r="X48" i="37" s="1"/>
  <c r="Y48" i="37" s="1"/>
  <c r="Z48" i="37" s="1"/>
  <c r="V75" i="37"/>
  <c r="W75" i="37" s="1"/>
  <c r="X75" i="37" s="1"/>
  <c r="Y75" i="37" s="1"/>
  <c r="Z75" i="37" s="1"/>
  <c r="V60" i="38"/>
  <c r="W60" i="38" s="1"/>
  <c r="X60" i="38" s="1"/>
  <c r="Y60" i="38" s="1"/>
  <c r="Z60" i="38" s="1"/>
  <c r="V72" i="38"/>
  <c r="W72" i="38" s="1"/>
  <c r="X72" i="38" s="1"/>
  <c r="Y72" i="38" s="1"/>
  <c r="Z72" i="38" s="1"/>
  <c r="V27" i="37"/>
  <c r="W27" i="37" s="1"/>
  <c r="X27" i="37" s="1"/>
  <c r="Y27" i="37" s="1"/>
  <c r="Z27" i="37" s="1"/>
  <c r="V70" i="37"/>
  <c r="W70" i="37" s="1"/>
  <c r="X70" i="37" s="1"/>
  <c r="Y70" i="37" s="1"/>
  <c r="Z70" i="37" s="1"/>
  <c r="V40" i="38"/>
  <c r="W40" i="38" s="1"/>
  <c r="X40" i="38" s="1"/>
  <c r="Y40" i="38" s="1"/>
  <c r="Z40" i="38" s="1"/>
  <c r="V33" i="37"/>
  <c r="W33" i="37" s="1"/>
  <c r="X33" i="37" s="1"/>
  <c r="Y33" i="37" s="1"/>
  <c r="Z33" i="37" s="1"/>
  <c r="V40" i="37"/>
  <c r="W40" i="37" s="1"/>
  <c r="X40" i="37" s="1"/>
  <c r="Y40" i="37" s="1"/>
  <c r="Z40" i="37" s="1"/>
  <c r="V71" i="37"/>
  <c r="W71" i="37" s="1"/>
  <c r="X71" i="37" s="1"/>
  <c r="Y71" i="37" s="1"/>
  <c r="Z71" i="37" s="1"/>
  <c r="V19" i="38"/>
  <c r="W19" i="38" s="1"/>
  <c r="X19" i="38" s="1"/>
  <c r="Y19" i="38" s="1"/>
  <c r="Z19" i="38" s="1"/>
  <c r="V71" i="36"/>
  <c r="W71" i="36" s="1"/>
  <c r="X71" i="36" s="1"/>
  <c r="Y71" i="36" s="1"/>
  <c r="Z71" i="36" s="1"/>
  <c r="V81" i="36"/>
  <c r="W81" i="36" s="1"/>
  <c r="X81" i="36" s="1"/>
  <c r="Y81" i="36" s="1"/>
  <c r="Z81" i="36" s="1"/>
  <c r="V73" i="36"/>
  <c r="W73" i="36" s="1"/>
  <c r="X73" i="36" s="1"/>
  <c r="Y73" i="36" s="1"/>
  <c r="Z73" i="36" s="1"/>
  <c r="V72" i="36"/>
  <c r="W72" i="36" s="1"/>
  <c r="X72" i="36" s="1"/>
  <c r="Y72" i="36" s="1"/>
  <c r="Z72" i="36" s="1"/>
  <c r="V49" i="36"/>
  <c r="W49" i="36" s="1"/>
  <c r="X49" i="36" s="1"/>
  <c r="Y49" i="36" s="1"/>
  <c r="Z49" i="36" s="1"/>
  <c r="V37" i="36"/>
  <c r="W37" i="36" s="1"/>
  <c r="X37" i="36" s="1"/>
  <c r="Y37" i="36" s="1"/>
  <c r="Z37" i="36" s="1"/>
  <c r="V84" i="36"/>
  <c r="W84" i="36" s="1"/>
  <c r="X84" i="36" s="1"/>
  <c r="Y84" i="36" s="1"/>
  <c r="Z84" i="36" s="1"/>
  <c r="V68" i="36"/>
  <c r="W68" i="36" s="1"/>
  <c r="X68" i="36" s="1"/>
  <c r="Y68" i="36" s="1"/>
  <c r="Z68" i="36" s="1"/>
  <c r="V64" i="36"/>
  <c r="W64" i="36" s="1"/>
  <c r="X64" i="36" s="1"/>
  <c r="Y64" i="36" s="1"/>
  <c r="Z64" i="36" s="1"/>
  <c r="V36" i="36"/>
  <c r="W36" i="36" s="1"/>
  <c r="X36" i="36" s="1"/>
  <c r="Y36" i="36" s="1"/>
  <c r="Z36" i="36" s="1"/>
  <c r="V38" i="36"/>
  <c r="W38" i="36" s="1"/>
  <c r="X38" i="36" s="1"/>
  <c r="Y38" i="36" s="1"/>
  <c r="Z38" i="36" s="1"/>
  <c r="V44" i="36"/>
  <c r="W44" i="36" s="1"/>
  <c r="X44" i="36" s="1"/>
  <c r="Y44" i="36" s="1"/>
  <c r="Z44" i="36" s="1"/>
  <c r="V40" i="36"/>
  <c r="W40" i="36" s="1"/>
  <c r="X40" i="36" s="1"/>
  <c r="Y40" i="36" s="1"/>
  <c r="Z40" i="36" s="1"/>
  <c r="V28" i="36"/>
  <c r="W28" i="36" s="1"/>
  <c r="X28" i="36" s="1"/>
  <c r="Y28" i="36" s="1"/>
  <c r="Z28" i="36" s="1"/>
  <c r="V18" i="36"/>
  <c r="W18" i="36" s="1"/>
  <c r="X18" i="36" s="1"/>
  <c r="Y18" i="36" s="1"/>
  <c r="Z18" i="36" s="1"/>
  <c r="V26" i="36"/>
  <c r="W26" i="36" s="1"/>
  <c r="X26" i="36" s="1"/>
  <c r="Y26" i="36" s="1"/>
  <c r="Z26" i="36" s="1"/>
  <c r="V20" i="36"/>
  <c r="W20" i="36" s="1"/>
  <c r="X20" i="36" s="1"/>
  <c r="Y20" i="36" s="1"/>
  <c r="Z20" i="36" s="1"/>
  <c r="V21" i="36"/>
  <c r="W21" i="36" s="1"/>
  <c r="X21" i="36" s="1"/>
  <c r="Y21" i="36" s="1"/>
  <c r="Z21" i="36" s="1"/>
  <c r="V13" i="36"/>
  <c r="W13" i="36" s="1"/>
  <c r="X13" i="36" s="1"/>
  <c r="Y13" i="36" s="1"/>
  <c r="Z13" i="36" s="1"/>
  <c r="V11" i="36"/>
  <c r="W11" i="36" s="1"/>
  <c r="X11" i="36" s="1"/>
  <c r="Y11" i="36" s="1"/>
  <c r="Z11" i="36" s="1"/>
  <c r="V52" i="36"/>
  <c r="W52" i="36" s="1"/>
  <c r="X52" i="36" s="1"/>
  <c r="Y52" i="36" s="1"/>
  <c r="Z52" i="36" s="1"/>
  <c r="V57" i="36"/>
  <c r="W57" i="36" s="1"/>
  <c r="X57" i="36" s="1"/>
  <c r="Y57" i="36" s="1"/>
  <c r="Z57" i="36" s="1"/>
  <c r="V55" i="36"/>
  <c r="W55" i="36" s="1"/>
  <c r="X55" i="36" s="1"/>
  <c r="Y55" i="36" s="1"/>
  <c r="Z55" i="36" s="1"/>
  <c r="V51" i="36"/>
  <c r="W51" i="36" s="1"/>
  <c r="X51" i="36" s="1"/>
  <c r="Y51" i="36" s="1"/>
  <c r="Z51" i="36" s="1"/>
  <c r="V4" i="36"/>
  <c r="W4" i="36" s="1"/>
  <c r="X4" i="36" s="1"/>
  <c r="Y4" i="36" s="1"/>
  <c r="Z4" i="36" s="1"/>
  <c r="V59" i="36"/>
  <c r="W59" i="36" s="1"/>
  <c r="X59" i="36" s="1"/>
  <c r="Y59" i="36" s="1"/>
  <c r="Z59" i="36" s="1"/>
  <c r="V8" i="36"/>
  <c r="W8" i="36" s="1"/>
  <c r="X8" i="36" s="1"/>
  <c r="Y8" i="36" s="1"/>
  <c r="Z8" i="36" s="1"/>
  <c r="V6" i="36"/>
  <c r="W6" i="36" s="1"/>
  <c r="X6" i="36" s="1"/>
  <c r="Y6" i="36" s="1"/>
  <c r="Z6" i="36" s="1"/>
  <c r="V77" i="36"/>
  <c r="W77" i="36" s="1"/>
  <c r="X77" i="36" s="1"/>
  <c r="Y77" i="36" s="1"/>
  <c r="Z77" i="36" s="1"/>
  <c r="V69" i="36"/>
  <c r="W69" i="36" s="1"/>
  <c r="X69" i="36" s="1"/>
  <c r="Y69" i="36" s="1"/>
  <c r="Z69" i="36" s="1"/>
  <c r="V60" i="36"/>
  <c r="W60" i="36" s="1"/>
  <c r="X60" i="36" s="1"/>
  <c r="Y60" i="36" s="1"/>
  <c r="Z60" i="36" s="1"/>
  <c r="V66" i="36"/>
  <c r="W66" i="36" s="1"/>
  <c r="X66" i="36" s="1"/>
  <c r="Y66" i="36" s="1"/>
  <c r="Z66" i="36" s="1"/>
  <c r="V33" i="36"/>
  <c r="W33" i="36" s="1"/>
  <c r="X33" i="36" s="1"/>
  <c r="Y33" i="36" s="1"/>
  <c r="Z33" i="36" s="1"/>
  <c r="V80" i="36"/>
  <c r="W80" i="36" s="1"/>
  <c r="X80" i="36" s="1"/>
  <c r="Y80" i="36" s="1"/>
  <c r="Z80" i="36" s="1"/>
  <c r="V50" i="36"/>
  <c r="W50" i="36" s="1"/>
  <c r="X50" i="36" s="1"/>
  <c r="Y50" i="36" s="1"/>
  <c r="Z50" i="36" s="1"/>
  <c r="V43" i="36"/>
  <c r="W43" i="36" s="1"/>
  <c r="X43" i="36" s="1"/>
  <c r="Y43" i="36" s="1"/>
  <c r="Z43" i="36" s="1"/>
  <c r="V47" i="36"/>
  <c r="W47" i="36" s="1"/>
  <c r="X47" i="36" s="1"/>
  <c r="Y47" i="36" s="1"/>
  <c r="Z47" i="36" s="1"/>
  <c r="V27" i="36"/>
  <c r="W27" i="36" s="1"/>
  <c r="X27" i="36" s="1"/>
  <c r="Y27" i="36" s="1"/>
  <c r="Z27" i="36" s="1"/>
  <c r="V14" i="36"/>
  <c r="W14" i="36" s="1"/>
  <c r="X14" i="36" s="1"/>
  <c r="Y14" i="36" s="1"/>
  <c r="Z14" i="36" s="1"/>
  <c r="V32" i="36"/>
  <c r="W32" i="36" s="1"/>
  <c r="X32" i="36" s="1"/>
  <c r="Y32" i="36" s="1"/>
  <c r="Z32" i="36" s="1"/>
  <c r="V17" i="36"/>
  <c r="W17" i="36" s="1"/>
  <c r="X17" i="36" s="1"/>
  <c r="Y17" i="36" s="1"/>
  <c r="Z17" i="36" s="1"/>
  <c r="V9" i="36"/>
  <c r="W9" i="36" s="1"/>
  <c r="X9" i="36" s="1"/>
  <c r="Y9" i="36" s="1"/>
  <c r="Z9" i="36" s="1"/>
  <c r="V5" i="36"/>
  <c r="W5" i="36" s="1"/>
  <c r="X5" i="36" s="1"/>
  <c r="Y5" i="36" s="1"/>
  <c r="Z5" i="36" s="1"/>
  <c r="V19" i="36"/>
  <c r="W19" i="36" s="1"/>
  <c r="X19" i="36" s="1"/>
  <c r="Y19" i="36" s="1"/>
  <c r="Z19" i="36" s="1"/>
  <c r="V58" i="36"/>
  <c r="W58" i="36" s="1"/>
  <c r="X58" i="36" s="1"/>
  <c r="Y58" i="36" s="1"/>
  <c r="Z58" i="36" s="1"/>
  <c r="V34" i="36"/>
  <c r="W34" i="36" s="1"/>
  <c r="X34" i="36" s="1"/>
  <c r="Y34" i="36" s="1"/>
  <c r="Z34" i="36" s="1"/>
  <c r="V31" i="36"/>
  <c r="W31" i="36" s="1"/>
  <c r="X31" i="36" s="1"/>
  <c r="Y31" i="36" s="1"/>
  <c r="Z31" i="36" s="1"/>
  <c r="V65" i="36"/>
  <c r="W65" i="36" s="1"/>
  <c r="X65" i="36" s="1"/>
  <c r="Y65" i="36" s="1"/>
  <c r="Z65" i="36" s="1"/>
  <c r="V54" i="36"/>
  <c r="W54" i="36" s="1"/>
  <c r="X54" i="36" s="1"/>
  <c r="Y54" i="36" s="1"/>
  <c r="Z54" i="36" s="1"/>
  <c r="V78" i="36"/>
  <c r="W78" i="36" s="1"/>
  <c r="X78" i="36" s="1"/>
  <c r="Y78" i="36" s="1"/>
  <c r="Z78" i="36" s="1"/>
  <c r="V12" i="36"/>
  <c r="W12" i="36" s="1"/>
  <c r="X12" i="36" s="1"/>
  <c r="Y12" i="36" s="1"/>
  <c r="Z12" i="36" s="1"/>
  <c r="V30" i="36"/>
  <c r="W30" i="36" s="1"/>
  <c r="X30" i="36" s="1"/>
  <c r="Y30" i="36" s="1"/>
  <c r="Z30" i="36" s="1"/>
  <c r="V67" i="36"/>
  <c r="W67" i="36" s="1"/>
  <c r="X67" i="36" s="1"/>
  <c r="Y67" i="36" s="1"/>
  <c r="Z67" i="36" s="1"/>
  <c r="V82" i="36"/>
  <c r="W82" i="36" s="1"/>
  <c r="X82" i="36" s="1"/>
  <c r="Y82" i="36" s="1"/>
  <c r="Z82" i="36" s="1"/>
  <c r="V22" i="36"/>
  <c r="W22" i="36" s="1"/>
  <c r="X22" i="36" s="1"/>
  <c r="Y22" i="36" s="1"/>
  <c r="Z22" i="36" s="1"/>
  <c r="V29" i="36"/>
  <c r="W29" i="36" s="1"/>
  <c r="X29" i="36" s="1"/>
  <c r="Y29" i="36" s="1"/>
  <c r="Z29" i="36" s="1"/>
  <c r="V48" i="36"/>
  <c r="W48" i="36" s="1"/>
  <c r="X48" i="36" s="1"/>
  <c r="Y48" i="36" s="1"/>
  <c r="Z48" i="36" s="1"/>
  <c r="V42" i="36"/>
  <c r="W42" i="36" s="1"/>
  <c r="X42" i="36" s="1"/>
  <c r="Y42" i="36" s="1"/>
  <c r="Z42" i="36" s="1"/>
  <c r="V76" i="36"/>
  <c r="W76" i="36" s="1"/>
  <c r="X76" i="36" s="1"/>
  <c r="Y76" i="36" s="1"/>
  <c r="Z76" i="36" s="1"/>
  <c r="V62" i="36"/>
  <c r="W62" i="36" s="1"/>
  <c r="X62" i="36" s="1"/>
  <c r="Y62" i="36" s="1"/>
  <c r="Z62" i="36" s="1"/>
  <c r="V23" i="36"/>
  <c r="W23" i="36" s="1"/>
  <c r="X23" i="36" s="1"/>
  <c r="Y23" i="36" s="1"/>
  <c r="Z23" i="36" s="1"/>
  <c r="V25" i="36"/>
  <c r="W25" i="36" s="1"/>
  <c r="X25" i="36" s="1"/>
  <c r="Y25" i="36" s="1"/>
  <c r="Z25" i="36" s="1"/>
  <c r="V35" i="36"/>
  <c r="W35" i="36" s="1"/>
  <c r="X35" i="36" s="1"/>
  <c r="Y35" i="36" s="1"/>
  <c r="Z35" i="36" s="1"/>
  <c r="V83" i="36"/>
  <c r="W83" i="36" s="1"/>
  <c r="X83" i="36" s="1"/>
  <c r="Y83" i="36" s="1"/>
  <c r="Z83" i="36" s="1"/>
  <c r="V15" i="36"/>
  <c r="W15" i="36" s="1"/>
  <c r="X15" i="36" s="1"/>
  <c r="Y15" i="36" s="1"/>
  <c r="Z15" i="36" s="1"/>
  <c r="V75" i="36"/>
  <c r="W75" i="36" s="1"/>
  <c r="X75" i="36" s="1"/>
  <c r="Y75" i="36" s="1"/>
  <c r="Z75" i="36" s="1"/>
  <c r="V10" i="36"/>
  <c r="W10" i="36" s="1"/>
  <c r="X10" i="36" s="1"/>
  <c r="Y10" i="36" s="1"/>
  <c r="Z10" i="36" s="1"/>
  <c r="V41" i="36"/>
  <c r="W41" i="36" s="1"/>
  <c r="X41" i="36" s="1"/>
  <c r="Y41" i="36" s="1"/>
  <c r="Z41" i="36" s="1"/>
  <c r="V74" i="36"/>
  <c r="W74" i="36" s="1"/>
  <c r="X74" i="36" s="1"/>
  <c r="Y74" i="36" s="1"/>
  <c r="Z74" i="36" s="1"/>
  <c r="V61" i="36"/>
  <c r="W61" i="36" s="1"/>
  <c r="X61" i="36" s="1"/>
  <c r="Y61" i="36" s="1"/>
  <c r="Z61" i="36" s="1"/>
  <c r="V45" i="36"/>
  <c r="W45" i="36" s="1"/>
  <c r="X45" i="36" s="1"/>
  <c r="Y45" i="36" s="1"/>
  <c r="Z45" i="36" s="1"/>
  <c r="V63" i="36"/>
  <c r="W63" i="36" s="1"/>
  <c r="X63" i="36" s="1"/>
  <c r="Y63" i="36" s="1"/>
  <c r="Z63" i="36" s="1"/>
  <c r="V16" i="36"/>
  <c r="W16" i="36" s="1"/>
  <c r="X16" i="36" s="1"/>
  <c r="Y16" i="36" s="1"/>
  <c r="Z16" i="36" s="1"/>
  <c r="V79" i="36"/>
  <c r="W79" i="36" s="1"/>
  <c r="X79" i="36" s="1"/>
  <c r="Y79" i="36" s="1"/>
  <c r="Z79" i="36" s="1"/>
  <c r="V24" i="36"/>
  <c r="W24" i="36" s="1"/>
  <c r="X24" i="36" s="1"/>
  <c r="Y24" i="36" s="1"/>
  <c r="Z24" i="36" s="1"/>
  <c r="V56" i="36"/>
  <c r="W56" i="36" s="1"/>
  <c r="X56" i="36" s="1"/>
  <c r="Y56" i="36" s="1"/>
  <c r="Z56" i="36" s="1"/>
  <c r="V46" i="36"/>
  <c r="W46" i="36" s="1"/>
  <c r="X46" i="36" s="1"/>
  <c r="Y46" i="36" s="1"/>
  <c r="Z46" i="36" s="1"/>
  <c r="V39" i="36"/>
  <c r="W39" i="36" s="1"/>
  <c r="X39" i="36" s="1"/>
  <c r="Y39" i="36" s="1"/>
  <c r="Z39" i="36" s="1"/>
  <c r="V53" i="36"/>
  <c r="W53" i="36" s="1"/>
  <c r="X53" i="36" s="1"/>
  <c r="Y53" i="36" s="1"/>
  <c r="Z53" i="36" s="1"/>
  <c r="V70" i="36"/>
  <c r="W70" i="36" s="1"/>
  <c r="X70" i="36" s="1"/>
  <c r="Y70" i="36" s="1"/>
  <c r="Z70" i="36" s="1"/>
  <c r="V7" i="36"/>
  <c r="W7" i="36" s="1"/>
  <c r="X7" i="36" s="1"/>
  <c r="Y7" i="36" s="1"/>
  <c r="Z7" i="36" s="1"/>
  <c r="G118" i="41"/>
  <c r="G118" i="33"/>
  <c r="G118" i="42"/>
  <c r="E111" i="42"/>
  <c r="E111" i="33"/>
  <c r="E111" i="41"/>
  <c r="D34" i="10"/>
  <c r="D14" i="10"/>
  <c r="D57" i="10"/>
  <c r="D69" i="10"/>
  <c r="D6" i="10"/>
  <c r="D74" i="10"/>
  <c r="D58" i="10"/>
  <c r="D43" i="10"/>
  <c r="D27" i="10"/>
  <c r="D11" i="10"/>
  <c r="D76" i="10"/>
  <c r="D60" i="10"/>
  <c r="D41" i="10"/>
  <c r="D25" i="10"/>
  <c r="D9" i="10"/>
  <c r="D83" i="10"/>
  <c r="D67" i="10"/>
  <c r="D52" i="10"/>
  <c r="D36" i="10"/>
  <c r="D20" i="10"/>
  <c r="C176" i="33"/>
  <c r="J169" i="33" s="1"/>
  <c r="B191" i="33" s="1"/>
  <c r="C176" i="41"/>
  <c r="J169" i="41" s="1"/>
  <c r="B191" i="41" s="1"/>
  <c r="C176" i="42"/>
  <c r="J169" i="42" s="1"/>
  <c r="B191" i="42" s="1"/>
  <c r="C113" i="18"/>
  <c r="C112" i="18"/>
  <c r="D112" i="18" s="1"/>
  <c r="D12" i="26"/>
  <c r="D18" i="26"/>
  <c r="D21" i="26"/>
  <c r="D24" i="26"/>
  <c r="D28" i="26"/>
  <c r="D32" i="26"/>
  <c r="D36" i="26"/>
  <c r="D40" i="26"/>
  <c r="D47" i="26"/>
  <c r="D51" i="26"/>
  <c r="D55" i="26"/>
  <c r="D59" i="26"/>
  <c r="D64" i="26"/>
  <c r="D67" i="26"/>
  <c r="D71" i="26"/>
  <c r="D74" i="26"/>
  <c r="D78" i="26"/>
  <c r="D84" i="26"/>
  <c r="D5" i="26"/>
  <c r="D8" i="26"/>
  <c r="D10" i="26"/>
  <c r="D13" i="26"/>
  <c r="D15" i="26"/>
  <c r="D22" i="26"/>
  <c r="D25" i="26"/>
  <c r="D29" i="26"/>
  <c r="D33" i="26"/>
  <c r="D37" i="26"/>
  <c r="D41" i="26"/>
  <c r="D44" i="26"/>
  <c r="D48" i="26"/>
  <c r="D52" i="26"/>
  <c r="D56" i="26"/>
  <c r="D62" i="26"/>
  <c r="D68" i="26"/>
  <c r="D72" i="26"/>
  <c r="D75" i="26"/>
  <c r="D79" i="26"/>
  <c r="D82" i="26"/>
  <c r="D6" i="26"/>
  <c r="D9" i="26"/>
  <c r="D11" i="26"/>
  <c r="D16" i="26"/>
  <c r="D19" i="26"/>
  <c r="D26" i="26"/>
  <c r="D30" i="26"/>
  <c r="D34" i="26"/>
  <c r="D38" i="26"/>
  <c r="D42" i="26"/>
  <c r="D45" i="26"/>
  <c r="D49" i="26"/>
  <c r="D53" i="26"/>
  <c r="D57" i="26"/>
  <c r="D60" i="26"/>
  <c r="D65" i="26"/>
  <c r="D69" i="26"/>
  <c r="D73" i="26"/>
  <c r="D76" i="26"/>
  <c r="D80" i="26"/>
  <c r="D4" i="26"/>
  <c r="D7" i="26"/>
  <c r="D14" i="26"/>
  <c r="D17" i="26"/>
  <c r="D20" i="26"/>
  <c r="D23" i="26"/>
  <c r="D27" i="26"/>
  <c r="D31" i="26"/>
  <c r="D35" i="26"/>
  <c r="D39" i="26"/>
  <c r="D43" i="26"/>
  <c r="D46" i="26"/>
  <c r="D50" i="26"/>
  <c r="D54" i="26"/>
  <c r="D58" i="26"/>
  <c r="D61" i="26"/>
  <c r="D63" i="26"/>
  <c r="D66" i="26"/>
  <c r="D70" i="26"/>
  <c r="D77" i="26"/>
  <c r="D81" i="26"/>
  <c r="D83" i="26"/>
  <c r="V9" i="26"/>
  <c r="W9" i="26" s="1"/>
  <c r="X9" i="26" s="1"/>
  <c r="Y9" i="26" s="1"/>
  <c r="Z9" i="26" s="1"/>
  <c r="V29" i="26"/>
  <c r="W29" i="26" s="1"/>
  <c r="X29" i="26" s="1"/>
  <c r="Y29" i="26" s="1"/>
  <c r="Z29" i="26" s="1"/>
  <c r="V78" i="26"/>
  <c r="W78" i="26" s="1"/>
  <c r="X78" i="26" s="1"/>
  <c r="Y78" i="26" s="1"/>
  <c r="Z78" i="26" s="1"/>
  <c r="V36" i="26"/>
  <c r="W36" i="26" s="1"/>
  <c r="X36" i="26" s="1"/>
  <c r="Y36" i="26" s="1"/>
  <c r="Z36" i="26" s="1"/>
  <c r="V43" i="26"/>
  <c r="W43" i="26" s="1"/>
  <c r="X43" i="26" s="1"/>
  <c r="Y43" i="26" s="1"/>
  <c r="Z43" i="26" s="1"/>
  <c r="V62" i="26"/>
  <c r="W62" i="26" s="1"/>
  <c r="X62" i="26" s="1"/>
  <c r="Y62" i="26" s="1"/>
  <c r="Z62" i="26" s="1"/>
  <c r="V82" i="26"/>
  <c r="W82" i="26" s="1"/>
  <c r="X82" i="26" s="1"/>
  <c r="Y82" i="26" s="1"/>
  <c r="Z82" i="26" s="1"/>
  <c r="V76" i="26"/>
  <c r="W76" i="26" s="1"/>
  <c r="X76" i="26" s="1"/>
  <c r="Y76" i="26" s="1"/>
  <c r="Z76" i="26" s="1"/>
  <c r="V37" i="26"/>
  <c r="W37" i="26" s="1"/>
  <c r="X37" i="26" s="1"/>
  <c r="Y37" i="26" s="1"/>
  <c r="Z37" i="26" s="1"/>
  <c r="V21" i="26"/>
  <c r="W21" i="26" s="1"/>
  <c r="X21" i="26" s="1"/>
  <c r="Y21" i="26" s="1"/>
  <c r="Z21" i="26" s="1"/>
  <c r="V5" i="26"/>
  <c r="W5" i="26" s="1"/>
  <c r="X5" i="26" s="1"/>
  <c r="Y5" i="26" s="1"/>
  <c r="Z5" i="26" s="1"/>
  <c r="V4" i="26"/>
  <c r="W4" i="26" s="1"/>
  <c r="X4" i="26" s="1"/>
  <c r="Y4" i="26" s="1"/>
  <c r="Z4" i="26" s="1"/>
  <c r="V27" i="26"/>
  <c r="W27" i="26" s="1"/>
  <c r="X27" i="26" s="1"/>
  <c r="Y27" i="26" s="1"/>
  <c r="Z27" i="26" s="1"/>
  <c r="V8" i="26"/>
  <c r="W8" i="26" s="1"/>
  <c r="X8" i="26" s="1"/>
  <c r="Y8" i="26" s="1"/>
  <c r="Z8" i="26" s="1"/>
  <c r="V23" i="26"/>
  <c r="W23" i="26" s="1"/>
  <c r="X23" i="26" s="1"/>
  <c r="Y23" i="26" s="1"/>
  <c r="Z23" i="26" s="1"/>
  <c r="V45" i="26"/>
  <c r="W45" i="26" s="1"/>
  <c r="X45" i="26" s="1"/>
  <c r="Y45" i="26" s="1"/>
  <c r="Z45" i="26" s="1"/>
  <c r="V46" i="26"/>
  <c r="W46" i="26" s="1"/>
  <c r="X46" i="26" s="1"/>
  <c r="Y46" i="26" s="1"/>
  <c r="Z46" i="26" s="1"/>
  <c r="V16" i="26"/>
  <c r="W16" i="26" s="1"/>
  <c r="X16" i="26" s="1"/>
  <c r="Y16" i="26" s="1"/>
  <c r="Z16" i="26" s="1"/>
  <c r="V32" i="26"/>
  <c r="W32" i="26" s="1"/>
  <c r="X32" i="26" s="1"/>
  <c r="Y32" i="26" s="1"/>
  <c r="Z32" i="26" s="1"/>
  <c r="V48" i="26"/>
  <c r="W48" i="26" s="1"/>
  <c r="X48" i="26" s="1"/>
  <c r="Y48" i="26" s="1"/>
  <c r="Z48" i="26" s="1"/>
  <c r="V39" i="26"/>
  <c r="W39" i="26" s="1"/>
  <c r="X39" i="26" s="1"/>
  <c r="Y39" i="26" s="1"/>
  <c r="Z39" i="26" s="1"/>
  <c r="V69" i="26"/>
  <c r="W69" i="26" s="1"/>
  <c r="X69" i="26" s="1"/>
  <c r="Y69" i="26" s="1"/>
  <c r="Z69" i="26" s="1"/>
  <c r="V65" i="26"/>
  <c r="W65" i="26" s="1"/>
  <c r="X65" i="26" s="1"/>
  <c r="Y65" i="26" s="1"/>
  <c r="Z65" i="26" s="1"/>
  <c r="V58" i="26"/>
  <c r="W58" i="26" s="1"/>
  <c r="X58" i="26" s="1"/>
  <c r="Y58" i="26" s="1"/>
  <c r="Z58" i="26" s="1"/>
  <c r="V83" i="26"/>
  <c r="W83" i="26" s="1"/>
  <c r="X83" i="26" s="1"/>
  <c r="Y83" i="26" s="1"/>
  <c r="Z83" i="26" s="1"/>
  <c r="V74" i="26"/>
  <c r="W74" i="26" s="1"/>
  <c r="X74" i="26" s="1"/>
  <c r="Y74" i="26" s="1"/>
  <c r="Z74" i="26" s="1"/>
  <c r="V72" i="26"/>
  <c r="W72" i="26" s="1"/>
  <c r="X72" i="26" s="1"/>
  <c r="Y72" i="26" s="1"/>
  <c r="Z72" i="26" s="1"/>
  <c r="V73" i="26"/>
  <c r="W73" i="26" s="1"/>
  <c r="X73" i="26" s="1"/>
  <c r="Y73" i="26" s="1"/>
  <c r="Z73" i="26" s="1"/>
  <c r="V55" i="26"/>
  <c r="W55" i="26" s="1"/>
  <c r="X55" i="26" s="1"/>
  <c r="Y55" i="26" s="1"/>
  <c r="Z55" i="26" s="1"/>
  <c r="V38" i="26"/>
  <c r="W38" i="26" s="1"/>
  <c r="X38" i="26" s="1"/>
  <c r="Y38" i="26" s="1"/>
  <c r="Z38" i="26" s="1"/>
  <c r="V10" i="26"/>
  <c r="W10" i="26" s="1"/>
  <c r="X10" i="26" s="1"/>
  <c r="Y10" i="26" s="1"/>
  <c r="Z10" i="26" s="1"/>
  <c r="V52" i="26"/>
  <c r="W52" i="26" s="1"/>
  <c r="X52" i="26" s="1"/>
  <c r="Y52" i="26" s="1"/>
  <c r="Z52" i="26" s="1"/>
  <c r="V41" i="26"/>
  <c r="W41" i="26" s="1"/>
  <c r="X41" i="26" s="1"/>
  <c r="Y41" i="26" s="1"/>
  <c r="Z41" i="26" s="1"/>
  <c r="V19" i="26"/>
  <c r="W19" i="26" s="1"/>
  <c r="X19" i="26" s="1"/>
  <c r="Y19" i="26" s="1"/>
  <c r="Z19" i="26" s="1"/>
  <c r="V13" i="26"/>
  <c r="W13" i="26" s="1"/>
  <c r="X13" i="26" s="1"/>
  <c r="Y13" i="26" s="1"/>
  <c r="Z13" i="26" s="1"/>
  <c r="V34" i="26"/>
  <c r="W34" i="26" s="1"/>
  <c r="X34" i="26" s="1"/>
  <c r="Y34" i="26" s="1"/>
  <c r="Z34" i="26" s="1"/>
  <c r="V14" i="26"/>
  <c r="W14" i="26" s="1"/>
  <c r="X14" i="26" s="1"/>
  <c r="Y14" i="26" s="1"/>
  <c r="Z14" i="26" s="1"/>
  <c r="V59" i="26"/>
  <c r="W59" i="26" s="1"/>
  <c r="X59" i="26" s="1"/>
  <c r="Y59" i="26" s="1"/>
  <c r="Z59" i="26" s="1"/>
  <c r="V24" i="26"/>
  <c r="W24" i="26" s="1"/>
  <c r="X24" i="26" s="1"/>
  <c r="Y24" i="26" s="1"/>
  <c r="Z24" i="26" s="1"/>
  <c r="V40" i="26"/>
  <c r="W40" i="26" s="1"/>
  <c r="X40" i="26" s="1"/>
  <c r="Y40" i="26" s="1"/>
  <c r="Z40" i="26" s="1"/>
  <c r="V70" i="26"/>
  <c r="W70" i="26" s="1"/>
  <c r="X70" i="26" s="1"/>
  <c r="Y70" i="26" s="1"/>
  <c r="Z70" i="26" s="1"/>
  <c r="V47" i="26"/>
  <c r="W47" i="26" s="1"/>
  <c r="X47" i="26" s="1"/>
  <c r="Y47" i="26" s="1"/>
  <c r="Z47" i="26" s="1"/>
  <c r="V56" i="26"/>
  <c r="W56" i="26" s="1"/>
  <c r="X56" i="26" s="1"/>
  <c r="Y56" i="26" s="1"/>
  <c r="Z56" i="26" s="1"/>
  <c r="V79" i="26"/>
  <c r="W79" i="26" s="1"/>
  <c r="X79" i="26" s="1"/>
  <c r="Y79" i="26" s="1"/>
  <c r="Z79" i="26" s="1"/>
  <c r="V67" i="26"/>
  <c r="W67" i="26" s="1"/>
  <c r="X67" i="26" s="1"/>
  <c r="Y67" i="26" s="1"/>
  <c r="Z67" i="26" s="1"/>
  <c r="V61" i="26"/>
  <c r="W61" i="26" s="1"/>
  <c r="X61" i="26" s="1"/>
  <c r="Y61" i="26" s="1"/>
  <c r="Z61" i="26" s="1"/>
  <c r="V64" i="26"/>
  <c r="W64" i="26" s="1"/>
  <c r="X64" i="26" s="1"/>
  <c r="Y64" i="26" s="1"/>
  <c r="Z64" i="26" s="1"/>
  <c r="V80" i="26"/>
  <c r="W80" i="26" s="1"/>
  <c r="X80" i="26" s="1"/>
  <c r="Y80" i="26" s="1"/>
  <c r="Z80" i="26" s="1"/>
  <c r="V81" i="26"/>
  <c r="W81" i="26" s="1"/>
  <c r="X81" i="26" s="1"/>
  <c r="Y81" i="26" s="1"/>
  <c r="Z81" i="26" s="1"/>
  <c r="V50" i="26"/>
  <c r="W50" i="26" s="1"/>
  <c r="X50" i="26" s="1"/>
  <c r="Y50" i="26" s="1"/>
  <c r="Z50" i="26" s="1"/>
  <c r="V33" i="26"/>
  <c r="W33" i="26" s="1"/>
  <c r="X33" i="26" s="1"/>
  <c r="Y33" i="26" s="1"/>
  <c r="Z33" i="26" s="1"/>
  <c r="V17" i="26"/>
  <c r="W17" i="26" s="1"/>
  <c r="X17" i="26" s="1"/>
  <c r="Y17" i="26" s="1"/>
  <c r="Z17" i="26" s="1"/>
  <c r="V11" i="26"/>
  <c r="W11" i="26" s="1"/>
  <c r="X11" i="26" s="1"/>
  <c r="Y11" i="26" s="1"/>
  <c r="Z11" i="26" s="1"/>
  <c r="V26" i="26"/>
  <c r="W26" i="26" s="1"/>
  <c r="X26" i="26" s="1"/>
  <c r="Y26" i="26" s="1"/>
  <c r="Z26" i="26" s="1"/>
  <c r="V6" i="26"/>
  <c r="W6" i="26" s="1"/>
  <c r="X6" i="26" s="1"/>
  <c r="Y6" i="26" s="1"/>
  <c r="Z6" i="26" s="1"/>
  <c r="V49" i="26"/>
  <c r="W49" i="26" s="1"/>
  <c r="X49" i="26" s="1"/>
  <c r="Y49" i="26" s="1"/>
  <c r="Z49" i="26" s="1"/>
  <c r="V20" i="26"/>
  <c r="W20" i="26" s="1"/>
  <c r="X20" i="26" s="1"/>
  <c r="Y20" i="26" s="1"/>
  <c r="Z20" i="26" s="1"/>
  <c r="V53" i="26"/>
  <c r="W53" i="26" s="1"/>
  <c r="X53" i="26" s="1"/>
  <c r="Y53" i="26" s="1"/>
  <c r="Z53" i="26" s="1"/>
  <c r="V71" i="26"/>
  <c r="W71" i="26" s="1"/>
  <c r="X71" i="26" s="1"/>
  <c r="Y71" i="26" s="1"/>
  <c r="Z71" i="26" s="1"/>
  <c r="V57" i="26"/>
  <c r="W57" i="26" s="1"/>
  <c r="X57" i="26" s="1"/>
  <c r="Y57" i="26" s="1"/>
  <c r="Z57" i="26" s="1"/>
  <c r="V77" i="26"/>
  <c r="W77" i="26" s="1"/>
  <c r="X77" i="26" s="1"/>
  <c r="Y77" i="26" s="1"/>
  <c r="Z77" i="26" s="1"/>
  <c r="V31" i="26"/>
  <c r="W31" i="26" s="1"/>
  <c r="X31" i="26" s="1"/>
  <c r="Y31" i="26" s="1"/>
  <c r="Z31" i="26" s="1"/>
  <c r="V15" i="26"/>
  <c r="W15" i="26" s="1"/>
  <c r="X15" i="26" s="1"/>
  <c r="Y15" i="26" s="1"/>
  <c r="Z15" i="26" s="1"/>
  <c r="V25" i="26"/>
  <c r="W25" i="26" s="1"/>
  <c r="X25" i="26" s="1"/>
  <c r="Y25" i="26" s="1"/>
  <c r="Z25" i="26" s="1"/>
  <c r="V18" i="26"/>
  <c r="W18" i="26" s="1"/>
  <c r="X18" i="26" s="1"/>
  <c r="Y18" i="26" s="1"/>
  <c r="Z18" i="26" s="1"/>
  <c r="V42" i="26"/>
  <c r="W42" i="26" s="1"/>
  <c r="X42" i="26" s="1"/>
  <c r="Y42" i="26" s="1"/>
  <c r="Z42" i="26" s="1"/>
  <c r="V30" i="26"/>
  <c r="W30" i="26" s="1"/>
  <c r="X30" i="26" s="1"/>
  <c r="Y30" i="26" s="1"/>
  <c r="Z30" i="26" s="1"/>
  <c r="V63" i="26"/>
  <c r="W63" i="26" s="1"/>
  <c r="X63" i="26" s="1"/>
  <c r="Y63" i="26" s="1"/>
  <c r="Z63" i="26" s="1"/>
  <c r="V28" i="26"/>
  <c r="W28" i="26" s="1"/>
  <c r="X28" i="26" s="1"/>
  <c r="Y28" i="26" s="1"/>
  <c r="Z28" i="26" s="1"/>
  <c r="V44" i="26"/>
  <c r="W44" i="26" s="1"/>
  <c r="X44" i="26" s="1"/>
  <c r="Y44" i="26" s="1"/>
  <c r="Z44" i="26" s="1"/>
  <c r="V35" i="26"/>
  <c r="W35" i="26" s="1"/>
  <c r="X35" i="26" s="1"/>
  <c r="Y35" i="26" s="1"/>
  <c r="Z35" i="26" s="1"/>
  <c r="V51" i="26"/>
  <c r="W51" i="26" s="1"/>
  <c r="X51" i="26" s="1"/>
  <c r="Y51" i="26" s="1"/>
  <c r="Z51" i="26" s="1"/>
  <c r="V60" i="26"/>
  <c r="W60" i="26" s="1"/>
  <c r="X60" i="26" s="1"/>
  <c r="Y60" i="26" s="1"/>
  <c r="Z60" i="26" s="1"/>
  <c r="V54" i="26"/>
  <c r="W54" i="26" s="1"/>
  <c r="X54" i="26" s="1"/>
  <c r="Y54" i="26" s="1"/>
  <c r="Z54" i="26" s="1"/>
  <c r="V75" i="26"/>
  <c r="W75" i="26" s="1"/>
  <c r="X75" i="26" s="1"/>
  <c r="Y75" i="26" s="1"/>
  <c r="Z75" i="26" s="1"/>
  <c r="V66" i="26"/>
  <c r="W66" i="26" s="1"/>
  <c r="X66" i="26" s="1"/>
  <c r="Y66" i="26" s="1"/>
  <c r="Z66" i="26" s="1"/>
  <c r="V68" i="26"/>
  <c r="W68" i="26" s="1"/>
  <c r="X68" i="26" s="1"/>
  <c r="Y68" i="26" s="1"/>
  <c r="Z68" i="26" s="1"/>
  <c r="V84" i="26"/>
  <c r="W84" i="26" s="1"/>
  <c r="X84" i="26" s="1"/>
  <c r="Y84" i="26" s="1"/>
  <c r="Z84" i="26" s="1"/>
  <c r="V12" i="26"/>
  <c r="W12" i="26" s="1"/>
  <c r="X12" i="26" s="1"/>
  <c r="Y12" i="26" s="1"/>
  <c r="Z12" i="26" s="1"/>
  <c r="V22" i="26"/>
  <c r="W22" i="26" s="1"/>
  <c r="X22" i="26" s="1"/>
  <c r="Y22" i="26" s="1"/>
  <c r="Z22" i="26" s="1"/>
  <c r="V7" i="26"/>
  <c r="W7" i="26" s="1"/>
  <c r="X7" i="26" s="1"/>
  <c r="Y7" i="26" s="1"/>
  <c r="Z7" i="26" s="1"/>
  <c r="N85" i="10"/>
  <c r="U70" i="10"/>
  <c r="U6" i="10"/>
  <c r="U76" i="10"/>
  <c r="U54" i="10"/>
  <c r="U33" i="10"/>
  <c r="U12" i="10"/>
  <c r="U28" i="10"/>
  <c r="U65" i="10"/>
  <c r="U44" i="10"/>
  <c r="V44" i="10" s="1"/>
  <c r="W44" i="10" s="1"/>
  <c r="X44" i="10" s="1"/>
  <c r="Y44" i="10" s="1"/>
  <c r="Z44" i="10" s="1"/>
  <c r="U22" i="10"/>
  <c r="U49" i="10"/>
  <c r="U81" i="10"/>
  <c r="U60" i="10"/>
  <c r="U38" i="10"/>
  <c r="U17" i="10"/>
  <c r="U80" i="10"/>
  <c r="U74" i="10"/>
  <c r="V74" i="10" s="1"/>
  <c r="U69" i="10"/>
  <c r="U64" i="10"/>
  <c r="U58" i="10"/>
  <c r="U53" i="10"/>
  <c r="U48" i="10"/>
  <c r="U42" i="10"/>
  <c r="U37" i="10"/>
  <c r="U32" i="10"/>
  <c r="V32" i="10" s="1"/>
  <c r="U26" i="10"/>
  <c r="U21" i="10"/>
  <c r="U16" i="10"/>
  <c r="U10" i="10"/>
  <c r="U5" i="10"/>
  <c r="U84" i="10"/>
  <c r="U78" i="10"/>
  <c r="U73" i="10"/>
  <c r="V73" i="10" s="1"/>
  <c r="U68" i="10"/>
  <c r="U62" i="10"/>
  <c r="U57" i="10"/>
  <c r="U52" i="10"/>
  <c r="U46" i="10"/>
  <c r="U41" i="10"/>
  <c r="U36" i="10"/>
  <c r="U30" i="10"/>
  <c r="V30" i="10" s="1"/>
  <c r="U25" i="10"/>
  <c r="U20" i="10"/>
  <c r="U14" i="10"/>
  <c r="U9" i="10"/>
  <c r="U82" i="10"/>
  <c r="U77" i="10"/>
  <c r="U72" i="10"/>
  <c r="U66" i="10"/>
  <c r="V66" i="10" s="1"/>
  <c r="U61" i="10"/>
  <c r="U56" i="10"/>
  <c r="U50" i="10"/>
  <c r="U45" i="10"/>
  <c r="U40" i="10"/>
  <c r="U34" i="10"/>
  <c r="U29" i="10"/>
  <c r="U24" i="10"/>
  <c r="V24" i="10" s="1"/>
  <c r="W24" i="10" s="1"/>
  <c r="U18" i="10"/>
  <c r="U13" i="10"/>
  <c r="U8" i="10"/>
  <c r="U83" i="10"/>
  <c r="U79" i="10"/>
  <c r="U75" i="10"/>
  <c r="U71" i="10"/>
  <c r="U67" i="10"/>
  <c r="V67" i="10" s="1"/>
  <c r="U63" i="10"/>
  <c r="U59" i="10"/>
  <c r="U55" i="10"/>
  <c r="U51" i="10"/>
  <c r="U47" i="10"/>
  <c r="U43" i="10"/>
  <c r="U39" i="10"/>
  <c r="U35" i="10"/>
  <c r="V35" i="10" s="1"/>
  <c r="U31" i="10"/>
  <c r="U27" i="10"/>
  <c r="U23" i="10"/>
  <c r="U19" i="10"/>
  <c r="U15" i="10"/>
  <c r="U11" i="10"/>
  <c r="U7" i="10"/>
  <c r="I151" i="33" l="1"/>
  <c r="I61" i="33" s="1"/>
  <c r="B27" i="33"/>
  <c r="AC81" i="26"/>
  <c r="AC50" i="26"/>
  <c r="AC20" i="26"/>
  <c r="AC69" i="26"/>
  <c r="AC38" i="26"/>
  <c r="AC52" i="26"/>
  <c r="AC74" i="26"/>
  <c r="AC40" i="26"/>
  <c r="AC22" i="26"/>
  <c r="AC77" i="26"/>
  <c r="AC46" i="26"/>
  <c r="AC17" i="26"/>
  <c r="AC65" i="26"/>
  <c r="AC34" i="26"/>
  <c r="AC82" i="26"/>
  <c r="AC48" i="26"/>
  <c r="AC15" i="26"/>
  <c r="AC71" i="26"/>
  <c r="AC36" i="26"/>
  <c r="AC70" i="26"/>
  <c r="AC43" i="26"/>
  <c r="AC14" i="26"/>
  <c r="AC60" i="26"/>
  <c r="AC30" i="26"/>
  <c r="AC79" i="26"/>
  <c r="AC44" i="26"/>
  <c r="AC13" i="26"/>
  <c r="AC67" i="26"/>
  <c r="AC32" i="26"/>
  <c r="AC66" i="26"/>
  <c r="AC39" i="26"/>
  <c r="AC7" i="26"/>
  <c r="AC57" i="26"/>
  <c r="AC26" i="26"/>
  <c r="AC75" i="26"/>
  <c r="AC41" i="26"/>
  <c r="AC10" i="26"/>
  <c r="AC64" i="26"/>
  <c r="AC28" i="26"/>
  <c r="AC63" i="26"/>
  <c r="AC35" i="26"/>
  <c r="AC4" i="26"/>
  <c r="AC53" i="26"/>
  <c r="AC19" i="26"/>
  <c r="AC72" i="26"/>
  <c r="AC37" i="26"/>
  <c r="AC8" i="26"/>
  <c r="AC59" i="26"/>
  <c r="AC24" i="26"/>
  <c r="AC61" i="26"/>
  <c r="AC31" i="26"/>
  <c r="AC80" i="26"/>
  <c r="AC49" i="26"/>
  <c r="AC16" i="26"/>
  <c r="AC68" i="26"/>
  <c r="AC33" i="26"/>
  <c r="AC5" i="26"/>
  <c r="AC55" i="26"/>
  <c r="AC21" i="26"/>
  <c r="AC58" i="26"/>
  <c r="AC27" i="26"/>
  <c r="AC76" i="26"/>
  <c r="AC45" i="26"/>
  <c r="AC11" i="26"/>
  <c r="AC62" i="26"/>
  <c r="AC29" i="26"/>
  <c r="AC84" i="26"/>
  <c r="AC51" i="26"/>
  <c r="AC18" i="26"/>
  <c r="AC6" i="26"/>
  <c r="AC83" i="26"/>
  <c r="AC54" i="26"/>
  <c r="AC23" i="26"/>
  <c r="AC73" i="26"/>
  <c r="AC42" i="26"/>
  <c r="AC9" i="26"/>
  <c r="AC56" i="26"/>
  <c r="AC25" i="26"/>
  <c r="AC78" i="26"/>
  <c r="AC47" i="26"/>
  <c r="AC12" i="26"/>
  <c r="W67" i="10"/>
  <c r="X67" i="10" s="1"/>
  <c r="Y67" i="10" s="1"/>
  <c r="Z67" i="10" s="1"/>
  <c r="W35" i="10"/>
  <c r="X35" i="10" s="1"/>
  <c r="Y35" i="10" s="1"/>
  <c r="Z35" i="10" s="1"/>
  <c r="X24" i="10"/>
  <c r="Y24" i="10" s="1"/>
  <c r="Z24" i="10" s="1"/>
  <c r="W73" i="10"/>
  <c r="X73" i="10" s="1"/>
  <c r="Y73" i="10" s="1"/>
  <c r="Z73" i="10" s="1"/>
  <c r="W30" i="10"/>
  <c r="X30" i="10" s="1"/>
  <c r="Y30" i="10" s="1"/>
  <c r="Z30" i="10" s="1"/>
  <c r="W74" i="10"/>
  <c r="X74" i="10" s="1"/>
  <c r="Y74" i="10" s="1"/>
  <c r="Z74" i="10" s="1"/>
  <c r="W66" i="10"/>
  <c r="X66" i="10" s="1"/>
  <c r="Y66" i="10" s="1"/>
  <c r="Z66" i="10" s="1"/>
  <c r="C112" i="33"/>
  <c r="C113" i="33"/>
  <c r="C47" i="34" s="1"/>
  <c r="C48" i="34" s="1"/>
  <c r="C112" i="42"/>
  <c r="C18" i="40" s="1"/>
  <c r="C19" i="40" s="1"/>
  <c r="C113" i="42"/>
  <c r="C47" i="40" s="1"/>
  <c r="C48" i="40" s="1"/>
  <c r="C112" i="41"/>
  <c r="D112" i="41" s="1"/>
  <c r="C113" i="41"/>
  <c r="C47" i="39" s="1"/>
  <c r="C48" i="39" s="1"/>
  <c r="W32" i="10"/>
  <c r="X32" i="10" s="1"/>
  <c r="Y32" i="10" s="1"/>
  <c r="Z32" i="10" s="1"/>
  <c r="F8" i="18"/>
  <c r="AC67" i="10"/>
  <c r="AC74" i="10"/>
  <c r="AC24" i="10"/>
  <c r="AC30" i="10"/>
  <c r="AC35" i="10"/>
  <c r="AC73" i="10"/>
  <c r="AC32" i="10"/>
  <c r="AC66" i="10"/>
  <c r="AC44" i="10"/>
  <c r="E29" i="10"/>
  <c r="D15" i="32"/>
  <c r="V4" i="32"/>
  <c r="B152" i="33"/>
  <c r="B62" i="33" s="1"/>
  <c r="B148" i="33"/>
  <c r="B56" i="33" s="1"/>
  <c r="B150" i="33"/>
  <c r="B58" i="33" s="1"/>
  <c r="B149" i="33"/>
  <c r="B57" i="33" s="1"/>
  <c r="B153" i="33"/>
  <c r="B63" i="33" s="1"/>
  <c r="B188" i="33"/>
  <c r="B28" i="33" s="1"/>
  <c r="X4" i="37"/>
  <c r="C133" i="42"/>
  <c r="B27" i="42" s="1"/>
  <c r="C133" i="41"/>
  <c r="B27" i="41" s="1"/>
  <c r="F151" i="33"/>
  <c r="F61" i="33" s="1"/>
  <c r="V19" i="10"/>
  <c r="W19" i="10" s="1"/>
  <c r="X19" i="10" s="1"/>
  <c r="Y19" i="10" s="1"/>
  <c r="Z19" i="10" s="1"/>
  <c r="V51" i="10"/>
  <c r="W51" i="10" s="1"/>
  <c r="X51" i="10" s="1"/>
  <c r="Y51" i="10" s="1"/>
  <c r="Z51" i="10" s="1"/>
  <c r="V83" i="10"/>
  <c r="W83" i="10" s="1"/>
  <c r="X83" i="10" s="1"/>
  <c r="Y83" i="10" s="1"/>
  <c r="Z83" i="10" s="1"/>
  <c r="V45" i="10"/>
  <c r="W45" i="10" s="1"/>
  <c r="X45" i="10" s="1"/>
  <c r="Y45" i="10" s="1"/>
  <c r="Z45" i="10" s="1"/>
  <c r="V9" i="10"/>
  <c r="W9" i="10" s="1"/>
  <c r="X9" i="10" s="1"/>
  <c r="Y9" i="10" s="1"/>
  <c r="Z9" i="10" s="1"/>
  <c r="V52" i="10"/>
  <c r="W52" i="10" s="1"/>
  <c r="X52" i="10" s="1"/>
  <c r="Y52" i="10" s="1"/>
  <c r="Z52" i="10" s="1"/>
  <c r="V10" i="10"/>
  <c r="W10" i="10" s="1"/>
  <c r="X10" i="10" s="1"/>
  <c r="Y10" i="10" s="1"/>
  <c r="Z10" i="10" s="1"/>
  <c r="V53" i="10"/>
  <c r="W53" i="10" s="1"/>
  <c r="X53" i="10" s="1"/>
  <c r="Y53" i="10" s="1"/>
  <c r="Z53" i="10" s="1"/>
  <c r="V60" i="10"/>
  <c r="W60" i="10" s="1"/>
  <c r="X60" i="10" s="1"/>
  <c r="Y60" i="10" s="1"/>
  <c r="Z60" i="10" s="1"/>
  <c r="V43" i="10"/>
  <c r="W43" i="10" s="1"/>
  <c r="X43" i="10" s="1"/>
  <c r="Y43" i="10" s="1"/>
  <c r="Z43" i="10" s="1"/>
  <c r="V75" i="10"/>
  <c r="W75" i="10" s="1"/>
  <c r="X75" i="10" s="1"/>
  <c r="Y75" i="10" s="1"/>
  <c r="Z75" i="10" s="1"/>
  <c r="V64" i="10"/>
  <c r="W64" i="10" s="1"/>
  <c r="X64" i="10" s="1"/>
  <c r="Y64" i="10" s="1"/>
  <c r="Z64" i="10" s="1"/>
  <c r="V82" i="10"/>
  <c r="W82" i="10" s="1"/>
  <c r="X82" i="10" s="1"/>
  <c r="Y82" i="10" s="1"/>
  <c r="Z82" i="10" s="1"/>
  <c r="V5" i="10"/>
  <c r="W5" i="10" s="1"/>
  <c r="X5" i="10" s="1"/>
  <c r="Y5" i="10" s="1"/>
  <c r="Z5" i="10" s="1"/>
  <c r="V69" i="10"/>
  <c r="W69" i="10" s="1"/>
  <c r="X69" i="10" s="1"/>
  <c r="Y69" i="10" s="1"/>
  <c r="Z69" i="10" s="1"/>
  <c r="D32" i="31"/>
  <c r="V80" i="31"/>
  <c r="V79" i="31"/>
  <c r="D50" i="31"/>
  <c r="D75" i="31"/>
  <c r="V69" i="32"/>
  <c r="V54" i="32"/>
  <c r="G148" i="33"/>
  <c r="G56" i="33" s="1"/>
  <c r="E151" i="33"/>
  <c r="E61" i="33" s="1"/>
  <c r="F148" i="33"/>
  <c r="F56" i="33" s="1"/>
  <c r="V25" i="32"/>
  <c r="D151" i="33"/>
  <c r="D61" i="33" s="1"/>
  <c r="E148" i="33"/>
  <c r="E56" i="33" s="1"/>
  <c r="C148" i="33"/>
  <c r="C56" i="33" s="1"/>
  <c r="D148" i="33"/>
  <c r="D56" i="33" s="1"/>
  <c r="V41" i="32"/>
  <c r="G151" i="33"/>
  <c r="G61" i="33" s="1"/>
  <c r="C151" i="33"/>
  <c r="C61" i="33" s="1"/>
  <c r="V60" i="32"/>
  <c r="D44" i="32"/>
  <c r="V20" i="32"/>
  <c r="D21" i="32"/>
  <c r="V5" i="32"/>
  <c r="V61" i="32"/>
  <c r="D5" i="32"/>
  <c r="D37" i="32"/>
  <c r="V64" i="32"/>
  <c r="V13" i="32"/>
  <c r="D28" i="32"/>
  <c r="D48" i="32"/>
  <c r="E52" i="10"/>
  <c r="E25" i="10"/>
  <c r="V42" i="32"/>
  <c r="V70" i="32"/>
  <c r="V31" i="32"/>
  <c r="V56" i="32"/>
  <c r="V52" i="32"/>
  <c r="D74" i="32"/>
  <c r="D12" i="32"/>
  <c r="D17" i="32"/>
  <c r="V45" i="32"/>
  <c r="V28" i="32"/>
  <c r="V30" i="32"/>
  <c r="V76" i="32"/>
  <c r="V63" i="32"/>
  <c r="D54" i="32"/>
  <c r="AC54" i="32" s="1"/>
  <c r="D29" i="32"/>
  <c r="D32" i="32"/>
  <c r="D84" i="32"/>
  <c r="D23" i="32"/>
  <c r="D13" i="32"/>
  <c r="D83" i="32"/>
  <c r="D46" i="32"/>
  <c r="E67" i="10"/>
  <c r="E27" i="10"/>
  <c r="E6" i="10"/>
  <c r="E71" i="10"/>
  <c r="E73" i="10"/>
  <c r="E60" i="10"/>
  <c r="E43" i="10"/>
  <c r="E69" i="10"/>
  <c r="E4" i="10"/>
  <c r="E8" i="10"/>
  <c r="E36" i="10"/>
  <c r="E9" i="10"/>
  <c r="E76" i="10"/>
  <c r="E58" i="10"/>
  <c r="E57" i="10"/>
  <c r="E62" i="10"/>
  <c r="V49" i="10"/>
  <c r="W49" i="10" s="1"/>
  <c r="X49" i="10" s="1"/>
  <c r="Y49" i="10" s="1"/>
  <c r="Z49" i="10" s="1"/>
  <c r="V6" i="10"/>
  <c r="W6" i="10" s="1"/>
  <c r="X6" i="10" s="1"/>
  <c r="Y6" i="10" s="1"/>
  <c r="Z6" i="10" s="1"/>
  <c r="V70" i="10"/>
  <c r="W70" i="10" s="1"/>
  <c r="X70" i="10" s="1"/>
  <c r="Y70" i="10" s="1"/>
  <c r="Z70" i="10" s="1"/>
  <c r="V33" i="10"/>
  <c r="W33" i="10" s="1"/>
  <c r="X33" i="10" s="1"/>
  <c r="Y33" i="10" s="1"/>
  <c r="Z33" i="10" s="1"/>
  <c r="V26" i="10"/>
  <c r="W26" i="10" s="1"/>
  <c r="X26" i="10" s="1"/>
  <c r="Y26" i="10" s="1"/>
  <c r="Z26" i="10" s="1"/>
  <c r="V18" i="10"/>
  <c r="W18" i="10" s="1"/>
  <c r="X18" i="10" s="1"/>
  <c r="Y18" i="10" s="1"/>
  <c r="Z18" i="10" s="1"/>
  <c r="V40" i="10"/>
  <c r="W40" i="10" s="1"/>
  <c r="X40" i="10" s="1"/>
  <c r="Y40" i="10" s="1"/>
  <c r="Z40" i="10" s="1"/>
  <c r="V7" i="10"/>
  <c r="W7" i="10" s="1"/>
  <c r="X7" i="10" s="1"/>
  <c r="Y7" i="10" s="1"/>
  <c r="Z7" i="10" s="1"/>
  <c r="V23" i="10"/>
  <c r="W23" i="10" s="1"/>
  <c r="X23" i="10" s="1"/>
  <c r="Y23" i="10" s="1"/>
  <c r="Z23" i="10" s="1"/>
  <c r="V39" i="10"/>
  <c r="W39" i="10" s="1"/>
  <c r="X39" i="10" s="1"/>
  <c r="Y39" i="10" s="1"/>
  <c r="Z39" i="10" s="1"/>
  <c r="V55" i="10"/>
  <c r="W55" i="10" s="1"/>
  <c r="X55" i="10" s="1"/>
  <c r="Y55" i="10" s="1"/>
  <c r="Z55" i="10" s="1"/>
  <c r="V71" i="10"/>
  <c r="W71" i="10" s="1"/>
  <c r="X71" i="10" s="1"/>
  <c r="Y71" i="10" s="1"/>
  <c r="Z71" i="10" s="1"/>
  <c r="V8" i="10"/>
  <c r="W8" i="10" s="1"/>
  <c r="X8" i="10" s="1"/>
  <c r="Y8" i="10" s="1"/>
  <c r="Z8" i="10" s="1"/>
  <c r="V29" i="10"/>
  <c r="W29" i="10" s="1"/>
  <c r="X29" i="10" s="1"/>
  <c r="Y29" i="10" s="1"/>
  <c r="Z29" i="10" s="1"/>
  <c r="V50" i="10"/>
  <c r="W50" i="10" s="1"/>
  <c r="X50" i="10" s="1"/>
  <c r="Y50" i="10" s="1"/>
  <c r="Z50" i="10" s="1"/>
  <c r="V72" i="10"/>
  <c r="W72" i="10" s="1"/>
  <c r="X72" i="10" s="1"/>
  <c r="Y72" i="10" s="1"/>
  <c r="Z72" i="10" s="1"/>
  <c r="V14" i="10"/>
  <c r="W14" i="10" s="1"/>
  <c r="X14" i="10" s="1"/>
  <c r="Y14" i="10" s="1"/>
  <c r="Z14" i="10" s="1"/>
  <c r="V36" i="10"/>
  <c r="W36" i="10" s="1"/>
  <c r="X36" i="10" s="1"/>
  <c r="Y36" i="10" s="1"/>
  <c r="Z36" i="10" s="1"/>
  <c r="V57" i="10"/>
  <c r="W57" i="10" s="1"/>
  <c r="X57" i="10" s="1"/>
  <c r="Y57" i="10" s="1"/>
  <c r="Z57" i="10" s="1"/>
  <c r="V78" i="10"/>
  <c r="W78" i="10" s="1"/>
  <c r="X78" i="10" s="1"/>
  <c r="Y78" i="10" s="1"/>
  <c r="Z78" i="10" s="1"/>
  <c r="V16" i="10"/>
  <c r="W16" i="10" s="1"/>
  <c r="X16" i="10" s="1"/>
  <c r="Y16" i="10" s="1"/>
  <c r="Z16" i="10" s="1"/>
  <c r="V37" i="10"/>
  <c r="W37" i="10" s="1"/>
  <c r="X37" i="10" s="1"/>
  <c r="Y37" i="10" s="1"/>
  <c r="Z37" i="10" s="1"/>
  <c r="V58" i="10"/>
  <c r="W58" i="10" s="1"/>
  <c r="X58" i="10" s="1"/>
  <c r="Y58" i="10" s="1"/>
  <c r="Z58" i="10" s="1"/>
  <c r="V80" i="10"/>
  <c r="W80" i="10" s="1"/>
  <c r="X80" i="10" s="1"/>
  <c r="Y80" i="10" s="1"/>
  <c r="Z80" i="10" s="1"/>
  <c r="V81" i="10"/>
  <c r="W81" i="10" s="1"/>
  <c r="X81" i="10" s="1"/>
  <c r="Y81" i="10" s="1"/>
  <c r="Z81" i="10" s="1"/>
  <c r="V65" i="10"/>
  <c r="W65" i="10" s="1"/>
  <c r="X65" i="10" s="1"/>
  <c r="Y65" i="10" s="1"/>
  <c r="Z65" i="10" s="1"/>
  <c r="V54" i="10"/>
  <c r="W54" i="10" s="1"/>
  <c r="X54" i="10" s="1"/>
  <c r="Y54" i="10" s="1"/>
  <c r="Z54" i="10" s="1"/>
  <c r="V27" i="10"/>
  <c r="W27" i="10" s="1"/>
  <c r="X27" i="10" s="1"/>
  <c r="Y27" i="10" s="1"/>
  <c r="Z27" i="10" s="1"/>
  <c r="V56" i="10"/>
  <c r="W56" i="10" s="1"/>
  <c r="X56" i="10" s="1"/>
  <c r="Y56" i="10" s="1"/>
  <c r="Z56" i="10" s="1"/>
  <c r="V77" i="10"/>
  <c r="W77" i="10" s="1"/>
  <c r="X77" i="10" s="1"/>
  <c r="Y77" i="10" s="1"/>
  <c r="Z77" i="10" s="1"/>
  <c r="V20" i="10"/>
  <c r="W20" i="10" s="1"/>
  <c r="X20" i="10" s="1"/>
  <c r="Y20" i="10" s="1"/>
  <c r="Z20" i="10" s="1"/>
  <c r="V41" i="10"/>
  <c r="W41" i="10" s="1"/>
  <c r="X41" i="10" s="1"/>
  <c r="Y41" i="10" s="1"/>
  <c r="Z41" i="10" s="1"/>
  <c r="V62" i="10"/>
  <c r="W62" i="10" s="1"/>
  <c r="X62" i="10" s="1"/>
  <c r="Y62" i="10" s="1"/>
  <c r="Z62" i="10" s="1"/>
  <c r="V84" i="10"/>
  <c r="W84" i="10" s="1"/>
  <c r="X84" i="10" s="1"/>
  <c r="Y84" i="10" s="1"/>
  <c r="Z84" i="10" s="1"/>
  <c r="V21" i="10"/>
  <c r="W21" i="10" s="1"/>
  <c r="X21" i="10" s="1"/>
  <c r="Y21" i="10" s="1"/>
  <c r="Z21" i="10" s="1"/>
  <c r="V42" i="10"/>
  <c r="W42" i="10" s="1"/>
  <c r="X42" i="10" s="1"/>
  <c r="Y42" i="10" s="1"/>
  <c r="Z42" i="10" s="1"/>
  <c r="V17" i="10"/>
  <c r="W17" i="10" s="1"/>
  <c r="X17" i="10" s="1"/>
  <c r="Y17" i="10" s="1"/>
  <c r="Z17" i="10" s="1"/>
  <c r="V28" i="10"/>
  <c r="W28" i="10" s="1"/>
  <c r="X28" i="10" s="1"/>
  <c r="Y28" i="10" s="1"/>
  <c r="Z28" i="10" s="1"/>
  <c r="V76" i="10"/>
  <c r="W76" i="10" s="1"/>
  <c r="X76" i="10" s="1"/>
  <c r="Y76" i="10" s="1"/>
  <c r="Z76" i="10" s="1"/>
  <c r="V11" i="10"/>
  <c r="W11" i="10" s="1"/>
  <c r="X11" i="10" s="1"/>
  <c r="Y11" i="10" s="1"/>
  <c r="Z11" i="10" s="1"/>
  <c r="V59" i="10"/>
  <c r="W59" i="10" s="1"/>
  <c r="X59" i="10" s="1"/>
  <c r="Y59" i="10" s="1"/>
  <c r="Z59" i="10" s="1"/>
  <c r="V13" i="10"/>
  <c r="W13" i="10" s="1"/>
  <c r="X13" i="10" s="1"/>
  <c r="Y13" i="10" s="1"/>
  <c r="Z13" i="10" s="1"/>
  <c r="V34" i="10"/>
  <c r="W34" i="10" s="1"/>
  <c r="X34" i="10" s="1"/>
  <c r="Y34" i="10" s="1"/>
  <c r="Z34" i="10" s="1"/>
  <c r="V15" i="10"/>
  <c r="W15" i="10" s="1"/>
  <c r="X15" i="10" s="1"/>
  <c r="Y15" i="10" s="1"/>
  <c r="Z15" i="10" s="1"/>
  <c r="V31" i="10"/>
  <c r="W31" i="10" s="1"/>
  <c r="X31" i="10" s="1"/>
  <c r="Y31" i="10" s="1"/>
  <c r="Z31" i="10" s="1"/>
  <c r="V47" i="10"/>
  <c r="W47" i="10" s="1"/>
  <c r="X47" i="10" s="1"/>
  <c r="Y47" i="10" s="1"/>
  <c r="Z47" i="10" s="1"/>
  <c r="V63" i="10"/>
  <c r="W63" i="10" s="1"/>
  <c r="X63" i="10" s="1"/>
  <c r="Y63" i="10" s="1"/>
  <c r="Z63" i="10" s="1"/>
  <c r="V79" i="10"/>
  <c r="W79" i="10" s="1"/>
  <c r="X79" i="10" s="1"/>
  <c r="Y79" i="10" s="1"/>
  <c r="Z79" i="10" s="1"/>
  <c r="V61" i="10"/>
  <c r="W61" i="10" s="1"/>
  <c r="X61" i="10" s="1"/>
  <c r="Y61" i="10" s="1"/>
  <c r="Z61" i="10" s="1"/>
  <c r="V25" i="10"/>
  <c r="W25" i="10" s="1"/>
  <c r="X25" i="10" s="1"/>
  <c r="Y25" i="10" s="1"/>
  <c r="Z25" i="10" s="1"/>
  <c r="V46" i="10"/>
  <c r="W46" i="10" s="1"/>
  <c r="X46" i="10" s="1"/>
  <c r="Y46" i="10" s="1"/>
  <c r="Z46" i="10" s="1"/>
  <c r="V68" i="10"/>
  <c r="W68" i="10" s="1"/>
  <c r="X68" i="10" s="1"/>
  <c r="Y68" i="10" s="1"/>
  <c r="Z68" i="10" s="1"/>
  <c r="V48" i="10"/>
  <c r="W48" i="10" s="1"/>
  <c r="X48" i="10" s="1"/>
  <c r="Y48" i="10" s="1"/>
  <c r="Z48" i="10" s="1"/>
  <c r="V38" i="10"/>
  <c r="W38" i="10" s="1"/>
  <c r="X38" i="10" s="1"/>
  <c r="Y38" i="10" s="1"/>
  <c r="Z38" i="10" s="1"/>
  <c r="V22" i="10"/>
  <c r="W22" i="10" s="1"/>
  <c r="X22" i="10" s="1"/>
  <c r="Y22" i="10" s="1"/>
  <c r="Z22" i="10" s="1"/>
  <c r="V12" i="10"/>
  <c r="W12" i="10" s="1"/>
  <c r="X12" i="10" s="1"/>
  <c r="Y12" i="10" s="1"/>
  <c r="Z12" i="10" s="1"/>
  <c r="V4" i="10"/>
  <c r="W4" i="10" s="1"/>
  <c r="X4" i="10" s="1"/>
  <c r="Y4" i="10" s="1"/>
  <c r="Z4" i="10" s="1"/>
  <c r="E56" i="10"/>
  <c r="V78" i="32"/>
  <c r="V22" i="32"/>
  <c r="V59" i="32"/>
  <c r="V62" i="32"/>
  <c r="V72" i="32"/>
  <c r="V19" i="32"/>
  <c r="V79" i="32"/>
  <c r="V51" i="32"/>
  <c r="V67" i="32"/>
  <c r="V11" i="32"/>
  <c r="V48" i="32"/>
  <c r="V47" i="32"/>
  <c r="V44" i="32"/>
  <c r="V55" i="32"/>
  <c r="V46" i="32"/>
  <c r="V73" i="32"/>
  <c r="V57" i="32"/>
  <c r="V58" i="32"/>
  <c r="V84" i="32"/>
  <c r="V74" i="32"/>
  <c r="D78" i="32"/>
  <c r="D34" i="32"/>
  <c r="D50" i="32"/>
  <c r="D76" i="32"/>
  <c r="D9" i="32"/>
  <c r="D45" i="32"/>
  <c r="AC45" i="32" s="1"/>
  <c r="D80" i="32"/>
  <c r="D7" i="32"/>
  <c r="D35" i="32"/>
  <c r="D27" i="32"/>
  <c r="D73" i="32"/>
  <c r="D20" i="32"/>
  <c r="D19" i="32"/>
  <c r="D22" i="32"/>
  <c r="AC22" i="32" s="1"/>
  <c r="D65" i="32"/>
  <c r="D14" i="32"/>
  <c r="D16" i="32"/>
  <c r="E13" i="10"/>
  <c r="E80" i="10"/>
  <c r="AD80" i="10" s="1"/>
  <c r="E47" i="10"/>
  <c r="AD47" i="10" s="1"/>
  <c r="E22" i="10"/>
  <c r="E10" i="10"/>
  <c r="E50" i="10"/>
  <c r="E20" i="10"/>
  <c r="E83" i="10"/>
  <c r="E41" i="10"/>
  <c r="AD41" i="10" s="1"/>
  <c r="E11" i="10"/>
  <c r="AD11" i="10" s="1"/>
  <c r="E74" i="10"/>
  <c r="AD74" i="10" s="1"/>
  <c r="E14" i="10"/>
  <c r="E24" i="10"/>
  <c r="V24" i="32"/>
  <c r="V37" i="32"/>
  <c r="V36" i="32"/>
  <c r="V14" i="32"/>
  <c r="V53" i="32"/>
  <c r="V38" i="32"/>
  <c r="V26" i="32"/>
  <c r="V29" i="32"/>
  <c r="V15" i="32"/>
  <c r="V43" i="32"/>
  <c r="V77" i="32"/>
  <c r="V32" i="32"/>
  <c r="V8" i="32"/>
  <c r="V17" i="32"/>
  <c r="V12" i="32"/>
  <c r="V68" i="32"/>
  <c r="V16" i="32"/>
  <c r="V49" i="32"/>
  <c r="V35" i="32"/>
  <c r="V34" i="32"/>
  <c r="D25" i="32"/>
  <c r="D18" i="32"/>
  <c r="D40" i="32"/>
  <c r="D63" i="32"/>
  <c r="D47" i="32"/>
  <c r="D81" i="32"/>
  <c r="D82" i="32"/>
  <c r="D71" i="32"/>
  <c r="D75" i="32"/>
  <c r="D68" i="32"/>
  <c r="D58" i="32"/>
  <c r="D4" i="32"/>
  <c r="D49" i="32"/>
  <c r="D56" i="32"/>
  <c r="D52" i="32"/>
  <c r="D53" i="32"/>
  <c r="D30" i="32"/>
  <c r="E40" i="10"/>
  <c r="V40" i="32"/>
  <c r="V18" i="32"/>
  <c r="V66" i="32"/>
  <c r="V65" i="32"/>
  <c r="V50" i="32"/>
  <c r="V7" i="32"/>
  <c r="V9" i="32"/>
  <c r="V10" i="32"/>
  <c r="V23" i="32"/>
  <c r="V39" i="32"/>
  <c r="V80" i="32"/>
  <c r="V75" i="32"/>
  <c r="V33" i="32"/>
  <c r="V83" i="32"/>
  <c r="V71" i="32"/>
  <c r="V6" i="32"/>
  <c r="V27" i="32"/>
  <c r="V82" i="32"/>
  <c r="V81" i="32"/>
  <c r="V21" i="32"/>
  <c r="D8" i="32"/>
  <c r="D10" i="32"/>
  <c r="D64" i="32"/>
  <c r="D43" i="32"/>
  <c r="D69" i="32"/>
  <c r="D26" i="32"/>
  <c r="D60" i="32"/>
  <c r="D31" i="32"/>
  <c r="AC31" i="32" s="1"/>
  <c r="D51" i="32"/>
  <c r="D42" i="32"/>
  <c r="D55" i="32"/>
  <c r="D24" i="32"/>
  <c r="D41" i="32"/>
  <c r="AC41" i="32" s="1"/>
  <c r="D33" i="32"/>
  <c r="D39" i="32"/>
  <c r="D36" i="32"/>
  <c r="D38" i="32"/>
  <c r="E64" i="10"/>
  <c r="AD64" i="10" s="1"/>
  <c r="E31" i="10"/>
  <c r="V58" i="31"/>
  <c r="D14" i="31"/>
  <c r="V77" i="31"/>
  <c r="V59" i="31"/>
  <c r="V28" i="31"/>
  <c r="V47" i="31"/>
  <c r="D21" i="31"/>
  <c r="D61" i="31"/>
  <c r="V13" i="31"/>
  <c r="D55" i="31"/>
  <c r="V33" i="31"/>
  <c r="V52" i="31"/>
  <c r="D84" i="31"/>
  <c r="V82" i="31"/>
  <c r="D70" i="31"/>
  <c r="D41" i="31"/>
  <c r="D45" i="31"/>
  <c r="D4" i="31"/>
  <c r="V66" i="31"/>
  <c r="V51" i="31"/>
  <c r="D38" i="31"/>
  <c r="V16" i="31"/>
  <c r="D43" i="31"/>
  <c r="V17" i="31"/>
  <c r="V71" i="31"/>
  <c r="D73" i="31"/>
  <c r="D78" i="31"/>
  <c r="D6" i="31"/>
  <c r="D51" i="31"/>
  <c r="V72" i="31"/>
  <c r="V5" i="31"/>
  <c r="D37" i="31"/>
  <c r="D42" i="31"/>
  <c r="D22" i="31"/>
  <c r="D12" i="31"/>
  <c r="V14" i="31"/>
  <c r="E12" i="10"/>
  <c r="E75" i="10"/>
  <c r="D61" i="32"/>
  <c r="D62" i="31"/>
  <c r="D60" i="31"/>
  <c r="D49" i="31"/>
  <c r="D67" i="31"/>
  <c r="D13" i="31"/>
  <c r="D29" i="31"/>
  <c r="V84" i="31"/>
  <c r="D9" i="31"/>
  <c r="V26" i="31"/>
  <c r="V31" i="31"/>
  <c r="D31" i="31"/>
  <c r="V61" i="31"/>
  <c r="D64" i="31"/>
  <c r="D46" i="31"/>
  <c r="V21" i="31"/>
  <c r="D8" i="31"/>
  <c r="V24" i="31"/>
  <c r="D48" i="31"/>
  <c r="V67" i="31"/>
  <c r="V10" i="31"/>
  <c r="D53" i="31"/>
  <c r="D36" i="31"/>
  <c r="V12" i="31"/>
  <c r="D54" i="31"/>
  <c r="V25" i="31"/>
  <c r="D16" i="31"/>
  <c r="AC16" i="31" s="1"/>
  <c r="V32" i="31"/>
  <c r="D58" i="31"/>
  <c r="V75" i="31"/>
  <c r="V7" i="31"/>
  <c r="V22" i="31"/>
  <c r="V38" i="31"/>
  <c r="V69" i="31"/>
  <c r="D69" i="31"/>
  <c r="V49" i="31"/>
  <c r="D30" i="31"/>
  <c r="V44" i="31"/>
  <c r="W44" i="31" s="1"/>
  <c r="D66" i="31"/>
  <c r="AC66" i="31" s="1"/>
  <c r="D7" i="31"/>
  <c r="AC7" i="31" s="1"/>
  <c r="V23" i="31"/>
  <c r="D26" i="30"/>
  <c r="D59" i="31"/>
  <c r="AC59" i="31" s="1"/>
  <c r="D20" i="31"/>
  <c r="V15" i="31"/>
  <c r="V20" i="31"/>
  <c r="W20" i="31" s="1"/>
  <c r="X20" i="31" s="1"/>
  <c r="D44" i="31"/>
  <c r="V68" i="31"/>
  <c r="V29" i="31"/>
  <c r="V6" i="31"/>
  <c r="D83" i="31"/>
  <c r="AC83" i="31" s="1"/>
  <c r="D71" i="31"/>
  <c r="D35" i="31"/>
  <c r="D28" i="31"/>
  <c r="AC28" i="31" s="1"/>
  <c r="D17" i="31"/>
  <c r="V30" i="31"/>
  <c r="V73" i="31"/>
  <c r="V34" i="31"/>
  <c r="V56" i="31"/>
  <c r="D74" i="31"/>
  <c r="D19" i="31"/>
  <c r="V35" i="31"/>
  <c r="W35" i="31" s="1"/>
  <c r="X35" i="31" s="1"/>
  <c r="D57" i="31"/>
  <c r="D52" i="31"/>
  <c r="AC52" i="31" s="1"/>
  <c r="D34" i="31"/>
  <c r="V62" i="31"/>
  <c r="D5" i="31"/>
  <c r="AC5" i="31" s="1"/>
  <c r="V50" i="31"/>
  <c r="V64" i="31"/>
  <c r="D79" i="31"/>
  <c r="AC79" i="31" s="1"/>
  <c r="D26" i="31"/>
  <c r="V43" i="31"/>
  <c r="D81" i="31"/>
  <c r="V45" i="31"/>
  <c r="D56" i="31"/>
  <c r="AC56" i="31" s="1"/>
  <c r="D24" i="31"/>
  <c r="AC24" i="31" s="1"/>
  <c r="D33" i="31"/>
  <c r="AC33" i="31" s="1"/>
  <c r="V74" i="31"/>
  <c r="W74" i="31" s="1"/>
  <c r="X74" i="31" s="1"/>
  <c r="V76" i="31"/>
  <c r="V8" i="31"/>
  <c r="D39" i="31"/>
  <c r="AC39" i="31" s="1"/>
  <c r="V55" i="31"/>
  <c r="V9" i="31"/>
  <c r="V75" i="30"/>
  <c r="V37" i="31"/>
  <c r="V36" i="31"/>
  <c r="W36" i="31" s="1"/>
  <c r="X36" i="31" s="1"/>
  <c r="D10" i="31"/>
  <c r="AC10" i="31" s="1"/>
  <c r="V63" i="31"/>
  <c r="V78" i="31"/>
  <c r="D82" i="31"/>
  <c r="AC82" i="31" s="1"/>
  <c r="V11" i="31"/>
  <c r="D18" i="31"/>
  <c r="V65" i="31"/>
  <c r="D15" i="31"/>
  <c r="AC15" i="31" s="1"/>
  <c r="D80" i="31"/>
  <c r="AC80" i="31" s="1"/>
  <c r="D77" i="31"/>
  <c r="AC77" i="31" s="1"/>
  <c r="V53" i="31"/>
  <c r="D65" i="31"/>
  <c r="AC65" i="31" s="1"/>
  <c r="V41" i="31"/>
  <c r="D27" i="31"/>
  <c r="V40" i="31"/>
  <c r="D63" i="31"/>
  <c r="AC63" i="31" s="1"/>
  <c r="V83" i="31"/>
  <c r="V19" i="31"/>
  <c r="V54" i="31"/>
  <c r="V70" i="31"/>
  <c r="V4" i="31"/>
  <c r="D72" i="31"/>
  <c r="AC72" i="31" s="1"/>
  <c r="V57" i="31"/>
  <c r="V18" i="31"/>
  <c r="W18" i="31" s="1"/>
  <c r="X18" i="31" s="1"/>
  <c r="V48" i="31"/>
  <c r="D68" i="31"/>
  <c r="AC68" i="31" s="1"/>
  <c r="D11" i="31"/>
  <c r="V27" i="31"/>
  <c r="D47" i="31"/>
  <c r="AC47" i="31" s="1"/>
  <c r="D40" i="31"/>
  <c r="AC40" i="31" s="1"/>
  <c r="D25" i="31"/>
  <c r="V46" i="31"/>
  <c r="W46" i="31" s="1"/>
  <c r="X46" i="31" s="1"/>
  <c r="V81" i="31"/>
  <c r="V42" i="31"/>
  <c r="V60" i="31"/>
  <c r="D76" i="31"/>
  <c r="AC76" i="31" s="1"/>
  <c r="D23" i="31"/>
  <c r="AC23" i="31" s="1"/>
  <c r="D46" i="30"/>
  <c r="D75" i="30"/>
  <c r="V20" i="30"/>
  <c r="V55" i="30"/>
  <c r="D66" i="30"/>
  <c r="D48" i="30"/>
  <c r="V36" i="30"/>
  <c r="D18" i="30"/>
  <c r="V15" i="30"/>
  <c r="D65" i="30"/>
  <c r="D113" i="18"/>
  <c r="C47" i="17"/>
  <c r="C48" i="17" s="1"/>
  <c r="C18" i="17"/>
  <c r="C19" i="17" s="1"/>
  <c r="D20" i="36"/>
  <c r="AC20" i="36" s="1"/>
  <c r="D44" i="36"/>
  <c r="AC44" i="36" s="1"/>
  <c r="D60" i="36"/>
  <c r="AC60" i="36" s="1"/>
  <c r="D69" i="36"/>
  <c r="AC69" i="36" s="1"/>
  <c r="D81" i="36"/>
  <c r="AC81" i="36" s="1"/>
  <c r="D10" i="36"/>
  <c r="AC10" i="36" s="1"/>
  <c r="D27" i="36"/>
  <c r="AC27" i="36" s="1"/>
  <c r="D46" i="36"/>
  <c r="AC46" i="36" s="1"/>
  <c r="D64" i="36"/>
  <c r="AC64" i="36" s="1"/>
  <c r="D73" i="36"/>
  <c r="AC73" i="36" s="1"/>
  <c r="D82" i="36"/>
  <c r="AC82" i="36" s="1"/>
  <c r="D19" i="36"/>
  <c r="AC19" i="36" s="1"/>
  <c r="D38" i="36"/>
  <c r="AC38" i="36" s="1"/>
  <c r="D55" i="36"/>
  <c r="AC55" i="36" s="1"/>
  <c r="D67" i="36"/>
  <c r="AC67" i="36" s="1"/>
  <c r="D77" i="36"/>
  <c r="AC77" i="36" s="1"/>
  <c r="D52" i="36"/>
  <c r="AC52" i="36" s="1"/>
  <c r="D76" i="36"/>
  <c r="AC76" i="36" s="1"/>
  <c r="D65" i="36"/>
  <c r="AC65" i="36" s="1"/>
  <c r="D12" i="36"/>
  <c r="AC12" i="36" s="1"/>
  <c r="D29" i="36"/>
  <c r="AC29" i="36" s="1"/>
  <c r="D4" i="36"/>
  <c r="AC4" i="36" s="1"/>
  <c r="D21" i="36"/>
  <c r="AC21" i="36" s="1"/>
  <c r="D5" i="36"/>
  <c r="AC5" i="36" s="1"/>
  <c r="D24" i="36"/>
  <c r="AC24" i="36" s="1"/>
  <c r="D34" i="36"/>
  <c r="AC34" i="36" s="1"/>
  <c r="D53" i="36"/>
  <c r="AC53" i="36" s="1"/>
  <c r="D72" i="36"/>
  <c r="AC72" i="36" s="1"/>
  <c r="D15" i="36"/>
  <c r="AC15" i="36" s="1"/>
  <c r="D36" i="36"/>
  <c r="AC36" i="36" s="1"/>
  <c r="D54" i="36"/>
  <c r="AC54" i="36" s="1"/>
  <c r="D17" i="36"/>
  <c r="AC17" i="36" s="1"/>
  <c r="D35" i="36"/>
  <c r="AC35" i="36" s="1"/>
  <c r="D71" i="36"/>
  <c r="AC71" i="36" s="1"/>
  <c r="D42" i="36"/>
  <c r="AC42" i="36" s="1"/>
  <c r="D7" i="36"/>
  <c r="AC7" i="36" s="1"/>
  <c r="D66" i="36"/>
  <c r="AC66" i="36" s="1"/>
  <c r="D39" i="36"/>
  <c r="AC39" i="36" s="1"/>
  <c r="D37" i="36"/>
  <c r="AC37" i="36" s="1"/>
  <c r="D56" i="36"/>
  <c r="AC56" i="36" s="1"/>
  <c r="D78" i="36"/>
  <c r="AC78" i="36" s="1"/>
  <c r="D23" i="36"/>
  <c r="AC23" i="36" s="1"/>
  <c r="D41" i="36"/>
  <c r="AC41" i="36" s="1"/>
  <c r="D58" i="36"/>
  <c r="AC58" i="36" s="1"/>
  <c r="D22" i="36"/>
  <c r="AC22" i="36" s="1"/>
  <c r="D43" i="36"/>
  <c r="AC43" i="36" s="1"/>
  <c r="D83" i="36"/>
  <c r="AC83" i="36" s="1"/>
  <c r="D63" i="36"/>
  <c r="AC63" i="36" s="1"/>
  <c r="D33" i="36"/>
  <c r="AC33" i="36" s="1"/>
  <c r="D79" i="36"/>
  <c r="AC79" i="36" s="1"/>
  <c r="D61" i="36"/>
  <c r="AC61" i="36" s="1"/>
  <c r="D31" i="36"/>
  <c r="AC31" i="36" s="1"/>
  <c r="D18" i="36"/>
  <c r="AC18" i="36" s="1"/>
  <c r="D50" i="36"/>
  <c r="AC50" i="36" s="1"/>
  <c r="D68" i="36"/>
  <c r="AC68" i="36" s="1"/>
  <c r="D11" i="36"/>
  <c r="AC11" i="36" s="1"/>
  <c r="D32" i="36"/>
  <c r="AC32" i="36" s="1"/>
  <c r="D49" i="36"/>
  <c r="AC49" i="36" s="1"/>
  <c r="D13" i="36"/>
  <c r="AC13" i="36" s="1"/>
  <c r="D30" i="36"/>
  <c r="AC30" i="36" s="1"/>
  <c r="D84" i="36"/>
  <c r="AC84" i="36" s="1"/>
  <c r="D26" i="36"/>
  <c r="AC26" i="36" s="1"/>
  <c r="D75" i="36"/>
  <c r="AC75" i="36" s="1"/>
  <c r="D16" i="36"/>
  <c r="AC16" i="36" s="1"/>
  <c r="D70" i="36"/>
  <c r="AC70" i="36" s="1"/>
  <c r="D6" i="36"/>
  <c r="AC6" i="36" s="1"/>
  <c r="D40" i="36"/>
  <c r="AC40" i="36" s="1"/>
  <c r="D48" i="36"/>
  <c r="AC48" i="36" s="1"/>
  <c r="D8" i="36"/>
  <c r="AC8" i="36" s="1"/>
  <c r="D28" i="36"/>
  <c r="AC28" i="36" s="1"/>
  <c r="D47" i="36"/>
  <c r="AC47" i="36" s="1"/>
  <c r="D59" i="36"/>
  <c r="AC59" i="36" s="1"/>
  <c r="D57" i="36"/>
  <c r="AC57" i="36" s="1"/>
  <c r="D45" i="36"/>
  <c r="AC45" i="36" s="1"/>
  <c r="D51" i="36"/>
  <c r="AC51" i="36" s="1"/>
  <c r="D62" i="36"/>
  <c r="AC62" i="36" s="1"/>
  <c r="D9" i="36"/>
  <c r="AC9" i="36" s="1"/>
  <c r="D80" i="36"/>
  <c r="AC80" i="36" s="1"/>
  <c r="D25" i="36"/>
  <c r="AC25" i="36" s="1"/>
  <c r="D74" i="36"/>
  <c r="AC74" i="36" s="1"/>
  <c r="D14" i="36"/>
  <c r="AC14" i="36" s="1"/>
  <c r="C18" i="39"/>
  <c r="C19" i="39" s="1"/>
  <c r="D4" i="30"/>
  <c r="D20" i="30"/>
  <c r="AC20" i="30" s="1"/>
  <c r="D33" i="30"/>
  <c r="V83" i="30"/>
  <c r="V58" i="30"/>
  <c r="V69" i="30"/>
  <c r="V5" i="30"/>
  <c r="V24" i="30"/>
  <c r="V63" i="30"/>
  <c r="D37" i="30"/>
  <c r="V79" i="30"/>
  <c r="D29" i="30"/>
  <c r="D39" i="30"/>
  <c r="V39" i="30"/>
  <c r="V74" i="30"/>
  <c r="V77" i="30"/>
  <c r="V13" i="30"/>
  <c r="V32" i="30"/>
  <c r="D22" i="30"/>
  <c r="D60" i="30"/>
  <c r="AC60" i="30" s="1"/>
  <c r="D24" i="30"/>
  <c r="AC24" i="30" s="1"/>
  <c r="D41" i="30"/>
  <c r="D52" i="30"/>
  <c r="V26" i="30"/>
  <c r="D13" i="30"/>
  <c r="AC13" i="30" s="1"/>
  <c r="V7" i="30"/>
  <c r="V25" i="30"/>
  <c r="V44" i="30"/>
  <c r="W44" i="30" s="1"/>
  <c r="X44" i="30" s="1"/>
  <c r="Y44" i="30" s="1"/>
  <c r="Z44" i="30" s="1"/>
  <c r="E17" i="10"/>
  <c r="E84" i="10"/>
  <c r="E51" i="10"/>
  <c r="AD51" i="10" s="1"/>
  <c r="E38" i="10"/>
  <c r="AD38" i="10" s="1"/>
  <c r="E26" i="10"/>
  <c r="E65" i="10"/>
  <c r="E16" i="10"/>
  <c r="E79" i="10"/>
  <c r="AD79" i="10" s="1"/>
  <c r="E37" i="10"/>
  <c r="AD37" i="10" s="1"/>
  <c r="E7" i="10"/>
  <c r="AD7" i="10" s="1"/>
  <c r="E70" i="10"/>
  <c r="AD70" i="10" s="1"/>
  <c r="D9" i="37"/>
  <c r="AC9" i="37" s="1"/>
  <c r="D38" i="37"/>
  <c r="AC38" i="37" s="1"/>
  <c r="D21" i="37"/>
  <c r="AC21" i="37" s="1"/>
  <c r="D32" i="37"/>
  <c r="AC32" i="37" s="1"/>
  <c r="D42" i="37"/>
  <c r="AC42" i="37" s="1"/>
  <c r="D55" i="37"/>
  <c r="AC55" i="37" s="1"/>
  <c r="D72" i="37"/>
  <c r="AC72" i="37" s="1"/>
  <c r="D5" i="37"/>
  <c r="AC5" i="37" s="1"/>
  <c r="D23" i="37"/>
  <c r="AC23" i="37" s="1"/>
  <c r="D45" i="37"/>
  <c r="AC45" i="37" s="1"/>
  <c r="D73" i="37"/>
  <c r="AC73" i="37" s="1"/>
  <c r="D10" i="37"/>
  <c r="AC10" i="37" s="1"/>
  <c r="D36" i="37"/>
  <c r="AC36" i="37" s="1"/>
  <c r="D51" i="37"/>
  <c r="AC51" i="37" s="1"/>
  <c r="D66" i="37"/>
  <c r="AC66" i="37" s="1"/>
  <c r="D4" i="37"/>
  <c r="AC4" i="37" s="1"/>
  <c r="D60" i="37"/>
  <c r="AC60" i="37" s="1"/>
  <c r="D15" i="37"/>
  <c r="AC15" i="37" s="1"/>
  <c r="D17" i="37"/>
  <c r="AC17" i="37" s="1"/>
  <c r="D13" i="37"/>
  <c r="AC13" i="37" s="1"/>
  <c r="D24" i="37"/>
  <c r="AC24" i="37" s="1"/>
  <c r="D34" i="37"/>
  <c r="AC34" i="37" s="1"/>
  <c r="D46" i="37"/>
  <c r="AC46" i="37" s="1"/>
  <c r="D58" i="37"/>
  <c r="AC58" i="37" s="1"/>
  <c r="D77" i="37"/>
  <c r="AC77" i="37" s="1"/>
  <c r="D8" i="37"/>
  <c r="AC8" i="37" s="1"/>
  <c r="D27" i="37"/>
  <c r="AC27" i="37" s="1"/>
  <c r="D49" i="37"/>
  <c r="AC49" i="37" s="1"/>
  <c r="D76" i="37"/>
  <c r="AC76" i="37" s="1"/>
  <c r="D14" i="37"/>
  <c r="AC14" i="37" s="1"/>
  <c r="D39" i="37"/>
  <c r="AC39" i="37" s="1"/>
  <c r="D56" i="37"/>
  <c r="AC56" i="37" s="1"/>
  <c r="D70" i="37"/>
  <c r="AC70" i="37" s="1"/>
  <c r="D53" i="37"/>
  <c r="AC53" i="37" s="1"/>
  <c r="D7" i="37"/>
  <c r="AC7" i="37" s="1"/>
  <c r="D54" i="37"/>
  <c r="AC54" i="37" s="1"/>
  <c r="D18" i="37"/>
  <c r="AC18" i="37" s="1"/>
  <c r="D30" i="37"/>
  <c r="AC30" i="37" s="1"/>
  <c r="D40" i="37"/>
  <c r="AC40" i="37" s="1"/>
  <c r="D52" i="37"/>
  <c r="AC52" i="37" s="1"/>
  <c r="D69" i="37"/>
  <c r="AC69" i="37" s="1"/>
  <c r="D82" i="37"/>
  <c r="AC82" i="37" s="1"/>
  <c r="D20" i="37"/>
  <c r="AC20" i="37" s="1"/>
  <c r="D41" i="37"/>
  <c r="AC41" i="37" s="1"/>
  <c r="D68" i="37"/>
  <c r="AC68" i="37" s="1"/>
  <c r="D6" i="37"/>
  <c r="AC6" i="37" s="1"/>
  <c r="D29" i="37"/>
  <c r="AC29" i="37" s="1"/>
  <c r="D47" i="37"/>
  <c r="AC47" i="37" s="1"/>
  <c r="D62" i="37"/>
  <c r="AC62" i="37" s="1"/>
  <c r="D80" i="37"/>
  <c r="AC80" i="37" s="1"/>
  <c r="D26" i="37"/>
  <c r="AC26" i="37" s="1"/>
  <c r="D79" i="37"/>
  <c r="AC79" i="37" s="1"/>
  <c r="D83" i="37"/>
  <c r="AC83" i="37" s="1"/>
  <c r="D74" i="37"/>
  <c r="AC74" i="37" s="1"/>
  <c r="D44" i="37"/>
  <c r="AC44" i="37" s="1"/>
  <c r="D28" i="37"/>
  <c r="AC28" i="37" s="1"/>
  <c r="D75" i="37"/>
  <c r="AC75" i="37" s="1"/>
  <c r="D78" i="37"/>
  <c r="AC78" i="37" s="1"/>
  <c r="D33" i="37"/>
  <c r="AC33" i="37" s="1"/>
  <c r="D84" i="37"/>
  <c r="AC84" i="37" s="1"/>
  <c r="D37" i="37"/>
  <c r="AC37" i="37" s="1"/>
  <c r="D12" i="37"/>
  <c r="AC12" i="37" s="1"/>
  <c r="D25" i="37"/>
  <c r="AC25" i="37" s="1"/>
  <c r="D22" i="37"/>
  <c r="AC22" i="37" s="1"/>
  <c r="D64" i="37"/>
  <c r="AC64" i="37" s="1"/>
  <c r="D71" i="37"/>
  <c r="AC71" i="37" s="1"/>
  <c r="D19" i="37"/>
  <c r="D16" i="37"/>
  <c r="AC16" i="37" s="1"/>
  <c r="D65" i="37"/>
  <c r="AC65" i="37" s="1"/>
  <c r="D61" i="37"/>
  <c r="AC61" i="37" s="1"/>
  <c r="D59" i="37"/>
  <c r="AC59" i="37" s="1"/>
  <c r="D67" i="37"/>
  <c r="AC67" i="37" s="1"/>
  <c r="D43" i="37"/>
  <c r="AC43" i="37" s="1"/>
  <c r="D35" i="37"/>
  <c r="AC35" i="37" s="1"/>
  <c r="D50" i="37"/>
  <c r="AC50" i="37" s="1"/>
  <c r="D63" i="37"/>
  <c r="AC63" i="37" s="1"/>
  <c r="D48" i="37"/>
  <c r="AC48" i="37" s="1"/>
  <c r="D57" i="37"/>
  <c r="AC57" i="37" s="1"/>
  <c r="D31" i="37"/>
  <c r="AC31" i="37" s="1"/>
  <c r="D81" i="37"/>
  <c r="AC81" i="37" s="1"/>
  <c r="D11" i="37"/>
  <c r="AC11" i="37" s="1"/>
  <c r="E28" i="10"/>
  <c r="AD28" i="10" s="1"/>
  <c r="D27" i="30"/>
  <c r="D68" i="30"/>
  <c r="D76" i="30"/>
  <c r="D83" i="30"/>
  <c r="AC83" i="30" s="1"/>
  <c r="V50" i="30"/>
  <c r="D40" i="30"/>
  <c r="D59" i="30"/>
  <c r="V33" i="30"/>
  <c r="D9" i="30"/>
  <c r="V82" i="30"/>
  <c r="D70" i="30"/>
  <c r="AC70" i="30" s="1"/>
  <c r="D32" i="30"/>
  <c r="AC32" i="30" s="1"/>
  <c r="D79" i="30"/>
  <c r="AC79" i="30" s="1"/>
  <c r="D74" i="30"/>
  <c r="D78" i="30"/>
  <c r="V70" i="30"/>
  <c r="V51" i="30"/>
  <c r="V18" i="30"/>
  <c r="V53" i="30"/>
  <c r="V72" i="30"/>
  <c r="V8" i="30"/>
  <c r="D47" i="30"/>
  <c r="D11" i="30"/>
  <c r="D80" i="30"/>
  <c r="D8" i="30"/>
  <c r="D23" i="30"/>
  <c r="V67" i="30"/>
  <c r="V42" i="30"/>
  <c r="V61" i="30"/>
  <c r="V80" i="30"/>
  <c r="V16" i="30"/>
  <c r="D69" i="30"/>
  <c r="D31" i="30"/>
  <c r="V47" i="30"/>
  <c r="D25" i="30"/>
  <c r="AC25" i="30" s="1"/>
  <c r="D36" i="30"/>
  <c r="AC36" i="30" s="1"/>
  <c r="V14" i="30"/>
  <c r="V66" i="30"/>
  <c r="V73" i="30"/>
  <c r="V9" i="30"/>
  <c r="V28" i="30"/>
  <c r="E33" i="10"/>
  <c r="AD33" i="10" s="1"/>
  <c r="E66" i="10"/>
  <c r="E32" i="10"/>
  <c r="E53" i="10"/>
  <c r="E23" i="10"/>
  <c r="AD23" i="10" s="1"/>
  <c r="E77" i="10"/>
  <c r="AD77" i="10" s="1"/>
  <c r="D112" i="33"/>
  <c r="C18" i="34"/>
  <c r="C19" i="34" s="1"/>
  <c r="E34" i="10"/>
  <c r="E44" i="10"/>
  <c r="V54" i="30"/>
  <c r="V31" i="30"/>
  <c r="V49" i="30"/>
  <c r="D14" i="30"/>
  <c r="AC14" i="30" s="1"/>
  <c r="V65" i="30"/>
  <c r="D81" i="30"/>
  <c r="V62" i="30"/>
  <c r="V52" i="30"/>
  <c r="D34" i="30"/>
  <c r="V81" i="30"/>
  <c r="D44" i="30"/>
  <c r="D5" i="30"/>
  <c r="D53" i="30"/>
  <c r="D51" i="30"/>
  <c r="AC51" i="30" s="1"/>
  <c r="D64" i="30"/>
  <c r="V78" i="30"/>
  <c r="V6" i="30"/>
  <c r="V19" i="30"/>
  <c r="V37" i="30"/>
  <c r="V56" i="30"/>
  <c r="D62" i="30"/>
  <c r="D21" i="30"/>
  <c r="D72" i="30"/>
  <c r="D61" i="30"/>
  <c r="AC61" i="30" s="1"/>
  <c r="D73" i="30"/>
  <c r="AC73" i="30" s="1"/>
  <c r="V38" i="30"/>
  <c r="V35" i="30"/>
  <c r="V27" i="30"/>
  <c r="V45" i="30"/>
  <c r="V64" i="30"/>
  <c r="D82" i="30"/>
  <c r="AC82" i="30" s="1"/>
  <c r="D43" i="30"/>
  <c r="D84" i="30"/>
  <c r="D77" i="30"/>
  <c r="AC77" i="30" s="1"/>
  <c r="V30" i="30"/>
  <c r="D6" i="30"/>
  <c r="V59" i="30"/>
  <c r="V34" i="30"/>
  <c r="V57" i="30"/>
  <c r="V76" i="30"/>
  <c r="V12" i="30"/>
  <c r="E49" i="10"/>
  <c r="E19" i="10"/>
  <c r="AD19" i="10" s="1"/>
  <c r="E82" i="10"/>
  <c r="E61" i="10"/>
  <c r="E48" i="10"/>
  <c r="E5" i="10"/>
  <c r="AD5" i="10" s="1"/>
  <c r="E72" i="10"/>
  <c r="AD72" i="10" s="1"/>
  <c r="E39" i="10"/>
  <c r="E18" i="10"/>
  <c r="AD18" i="10" s="1"/>
  <c r="D38" i="38"/>
  <c r="AC38" i="38" s="1"/>
  <c r="D77" i="38"/>
  <c r="AC77" i="38" s="1"/>
  <c r="D43" i="38"/>
  <c r="AC43" i="38" s="1"/>
  <c r="D22" i="38"/>
  <c r="AC22" i="38" s="1"/>
  <c r="D62" i="38"/>
  <c r="AC62" i="38" s="1"/>
  <c r="D57" i="38"/>
  <c r="AC57" i="38" s="1"/>
  <c r="D18" i="38"/>
  <c r="AC18" i="38" s="1"/>
  <c r="D37" i="38"/>
  <c r="AC37" i="38" s="1"/>
  <c r="D55" i="38"/>
  <c r="AC55" i="38" s="1"/>
  <c r="D71" i="38"/>
  <c r="AC71" i="38" s="1"/>
  <c r="D4" i="38"/>
  <c r="AC4" i="38" s="1"/>
  <c r="D21" i="38"/>
  <c r="AC21" i="38" s="1"/>
  <c r="D42" i="38"/>
  <c r="AC42" i="38" s="1"/>
  <c r="D61" i="38"/>
  <c r="AC61" i="38" s="1"/>
  <c r="D81" i="38"/>
  <c r="AC81" i="38" s="1"/>
  <c r="D9" i="38"/>
  <c r="AC9" i="38" s="1"/>
  <c r="D34" i="38"/>
  <c r="AC34" i="38" s="1"/>
  <c r="D58" i="38"/>
  <c r="AC58" i="38" s="1"/>
  <c r="D79" i="38"/>
  <c r="AC79" i="38" s="1"/>
  <c r="D15" i="38"/>
  <c r="AC15" i="38" s="1"/>
  <c r="D35" i="38"/>
  <c r="AC35" i="38" s="1"/>
  <c r="D54" i="38"/>
  <c r="AC54" i="38" s="1"/>
  <c r="D80" i="38"/>
  <c r="AC80" i="38" s="1"/>
  <c r="D68" i="38"/>
  <c r="AC68" i="38" s="1"/>
  <c r="D7" i="38"/>
  <c r="AC7" i="38" s="1"/>
  <c r="D25" i="38"/>
  <c r="AC25" i="38" s="1"/>
  <c r="D41" i="38"/>
  <c r="AC41" i="38" s="1"/>
  <c r="D59" i="38"/>
  <c r="AC59" i="38" s="1"/>
  <c r="D75" i="38"/>
  <c r="AC75" i="38" s="1"/>
  <c r="D6" i="38"/>
  <c r="AC6" i="38" s="1"/>
  <c r="D26" i="38"/>
  <c r="AC26" i="38" s="1"/>
  <c r="D47" i="38"/>
  <c r="AC47" i="38" s="1"/>
  <c r="D66" i="38"/>
  <c r="AC66" i="38" s="1"/>
  <c r="D8" i="38"/>
  <c r="AC8" i="38" s="1"/>
  <c r="D19" i="38"/>
  <c r="AC19" i="38" s="1"/>
  <c r="D39" i="38"/>
  <c r="AC39" i="38" s="1"/>
  <c r="D64" i="38"/>
  <c r="AC64" i="38" s="1"/>
  <c r="D83" i="38"/>
  <c r="AC83" i="38" s="1"/>
  <c r="D20" i="38"/>
  <c r="AC20" i="38" s="1"/>
  <c r="D40" i="38"/>
  <c r="AC40" i="38" s="1"/>
  <c r="D60" i="38"/>
  <c r="AC60" i="38" s="1"/>
  <c r="D73" i="38"/>
  <c r="AC73" i="38" s="1"/>
  <c r="D48" i="38"/>
  <c r="AC48" i="38" s="1"/>
  <c r="D14" i="38"/>
  <c r="AC14" i="38" s="1"/>
  <c r="D33" i="38"/>
  <c r="AC33" i="38" s="1"/>
  <c r="D49" i="38"/>
  <c r="AC49" i="38" s="1"/>
  <c r="D67" i="38"/>
  <c r="AC67" i="38" s="1"/>
  <c r="D82" i="38"/>
  <c r="AC82" i="38" s="1"/>
  <c r="D16" i="38"/>
  <c r="AC16" i="38" s="1"/>
  <c r="D36" i="38"/>
  <c r="AC36" i="38" s="1"/>
  <c r="D56" i="38"/>
  <c r="AC56" i="38" s="1"/>
  <c r="D76" i="38"/>
  <c r="AC76" i="38" s="1"/>
  <c r="D17" i="38"/>
  <c r="AC17" i="38" s="1"/>
  <c r="D28" i="38"/>
  <c r="AC28" i="38" s="1"/>
  <c r="D53" i="38"/>
  <c r="AC53" i="38" s="1"/>
  <c r="D74" i="38"/>
  <c r="AC74" i="38" s="1"/>
  <c r="D45" i="38"/>
  <c r="AC45" i="38" s="1"/>
  <c r="D31" i="38"/>
  <c r="AC31" i="38" s="1"/>
  <c r="D23" i="38"/>
  <c r="AC23" i="38" s="1"/>
  <c r="D10" i="38"/>
  <c r="AC10" i="38" s="1"/>
  <c r="D50" i="38"/>
  <c r="AC50" i="38" s="1"/>
  <c r="D32" i="38"/>
  <c r="AC32" i="38" s="1"/>
  <c r="D84" i="38"/>
  <c r="AC84" i="38" s="1"/>
  <c r="D11" i="38"/>
  <c r="AC11" i="38" s="1"/>
  <c r="D72" i="38"/>
  <c r="AC72" i="38" s="1"/>
  <c r="D30" i="38"/>
  <c r="AC30" i="38" s="1"/>
  <c r="D63" i="38"/>
  <c r="AC63" i="38" s="1"/>
  <c r="D51" i="38"/>
  <c r="AC51" i="38" s="1"/>
  <c r="D44" i="38"/>
  <c r="AC44" i="38" s="1"/>
  <c r="D24" i="38"/>
  <c r="AC24" i="38" s="1"/>
  <c r="D65" i="38"/>
  <c r="AC65" i="38" s="1"/>
  <c r="D27" i="38"/>
  <c r="AC27" i="38" s="1"/>
  <c r="D78" i="38"/>
  <c r="AC78" i="38" s="1"/>
  <c r="D69" i="38"/>
  <c r="AC69" i="38" s="1"/>
  <c r="D70" i="38"/>
  <c r="AC70" i="38" s="1"/>
  <c r="D29" i="38"/>
  <c r="AC29" i="38" s="1"/>
  <c r="D12" i="38"/>
  <c r="AC12" i="38" s="1"/>
  <c r="D13" i="38"/>
  <c r="AC13" i="38" s="1"/>
  <c r="D5" i="38"/>
  <c r="AC5" i="38" s="1"/>
  <c r="D46" i="38"/>
  <c r="AC46" i="38" s="1"/>
  <c r="D52" i="38"/>
  <c r="AC52" i="38" s="1"/>
  <c r="D57" i="32"/>
  <c r="D72" i="32"/>
  <c r="D70" i="32"/>
  <c r="D66" i="32"/>
  <c r="D59" i="32"/>
  <c r="D67" i="32"/>
  <c r="D6" i="32"/>
  <c r="D62" i="32"/>
  <c r="D11" i="32"/>
  <c r="D79" i="32"/>
  <c r="AC79" i="32" s="1"/>
  <c r="D77" i="32"/>
  <c r="AC77" i="32" s="1"/>
  <c r="E45" i="10"/>
  <c r="AD45" i="10" s="1"/>
  <c r="E15" i="10"/>
  <c r="AD15" i="10" s="1"/>
  <c r="E78" i="10"/>
  <c r="AD78" i="10" s="1"/>
  <c r="E30" i="10"/>
  <c r="E46" i="10"/>
  <c r="E59" i="10"/>
  <c r="V68" i="30"/>
  <c r="V43" i="30"/>
  <c r="D56" i="30"/>
  <c r="D30" i="30"/>
  <c r="V84" i="30"/>
  <c r="D50" i="30"/>
  <c r="AC50" i="30" s="1"/>
  <c r="D19" i="30"/>
  <c r="AC19" i="30" s="1"/>
  <c r="D7" i="30"/>
  <c r="AC7" i="30" s="1"/>
  <c r="D42" i="30"/>
  <c r="AC42" i="30" s="1"/>
  <c r="V17" i="30"/>
  <c r="D15" i="30"/>
  <c r="D55" i="30"/>
  <c r="AC55" i="30" s="1"/>
  <c r="D17" i="30"/>
  <c r="D38" i="30"/>
  <c r="D49" i="30"/>
  <c r="AC49" i="30" s="1"/>
  <c r="V71" i="30"/>
  <c r="D10" i="30"/>
  <c r="V4" i="30"/>
  <c r="V21" i="30"/>
  <c r="V40" i="30"/>
  <c r="D28" i="30"/>
  <c r="AC28" i="30" s="1"/>
  <c r="D63" i="30"/>
  <c r="AC63" i="30" s="1"/>
  <c r="D35" i="30"/>
  <c r="AC35" i="30" s="1"/>
  <c r="D45" i="30"/>
  <c r="AC45" i="30" s="1"/>
  <c r="D54" i="30"/>
  <c r="AC54" i="30" s="1"/>
  <c r="V46" i="30"/>
  <c r="D16" i="30"/>
  <c r="AC16" i="30" s="1"/>
  <c r="V11" i="30"/>
  <c r="V29" i="30"/>
  <c r="V48" i="30"/>
  <c r="D57" i="30"/>
  <c r="AC57" i="30" s="1"/>
  <c r="D12" i="30"/>
  <c r="D67" i="30"/>
  <c r="D58" i="30"/>
  <c r="AC58" i="30" s="1"/>
  <c r="D71" i="30"/>
  <c r="V10" i="30"/>
  <c r="V22" i="30"/>
  <c r="V23" i="30"/>
  <c r="V41" i="30"/>
  <c r="E68" i="10"/>
  <c r="AD68" i="10" s="1"/>
  <c r="E35" i="10"/>
  <c r="AD35" i="10" s="1"/>
  <c r="E63" i="10"/>
  <c r="E21" i="10"/>
  <c r="E55" i="10"/>
  <c r="E54" i="10"/>
  <c r="E42" i="10"/>
  <c r="AD42" i="10" s="1"/>
  <c r="E81" i="10"/>
  <c r="E18" i="18"/>
  <c r="C137" i="18" s="1"/>
  <c r="E18" i="33"/>
  <c r="C137" i="33" s="1"/>
  <c r="C145" i="33" s="1"/>
  <c r="E81" i="26"/>
  <c r="AD81" i="26" s="1"/>
  <c r="E35" i="26"/>
  <c r="AD35" i="26" s="1"/>
  <c r="E8" i="26"/>
  <c r="AD8" i="26" s="1"/>
  <c r="E70" i="26"/>
  <c r="AD70" i="26" s="1"/>
  <c r="E58" i="26"/>
  <c r="AD58" i="26" s="1"/>
  <c r="E43" i="26"/>
  <c r="AD43" i="26" s="1"/>
  <c r="E27" i="26"/>
  <c r="AD27" i="26" s="1"/>
  <c r="E14" i="26"/>
  <c r="AD14" i="26" s="1"/>
  <c r="E76" i="26"/>
  <c r="AD76" i="26" s="1"/>
  <c r="E60" i="26"/>
  <c r="AD60" i="26" s="1"/>
  <c r="E45" i="26"/>
  <c r="AD45" i="26" s="1"/>
  <c r="E30" i="26"/>
  <c r="AD30" i="26" s="1"/>
  <c r="E11" i="26"/>
  <c r="AD11" i="26" s="1"/>
  <c r="E79" i="26"/>
  <c r="AD79" i="26" s="1"/>
  <c r="E62" i="26"/>
  <c r="AD62" i="26" s="1"/>
  <c r="E44" i="26"/>
  <c r="AD44" i="26" s="1"/>
  <c r="E29" i="26"/>
  <c r="AD29" i="26" s="1"/>
  <c r="E13" i="26"/>
  <c r="AD13" i="26" s="1"/>
  <c r="E84" i="26"/>
  <c r="AD84" i="26" s="1"/>
  <c r="E67" i="26"/>
  <c r="AD67" i="26" s="1"/>
  <c r="E51" i="26"/>
  <c r="AD51" i="26" s="1"/>
  <c r="E32" i="26"/>
  <c r="AD32" i="26" s="1"/>
  <c r="E18" i="26"/>
  <c r="AD18" i="26" s="1"/>
  <c r="E63" i="26"/>
  <c r="AD63" i="26" s="1"/>
  <c r="E50" i="26"/>
  <c r="AD50" i="26" s="1"/>
  <c r="E20" i="26"/>
  <c r="AD20" i="26" s="1"/>
  <c r="E4" i="26"/>
  <c r="AD4" i="26" s="1"/>
  <c r="E69" i="26"/>
  <c r="AD69" i="26" s="1"/>
  <c r="E53" i="26"/>
  <c r="AD53" i="26" s="1"/>
  <c r="E38" i="26"/>
  <c r="AD38" i="26" s="1"/>
  <c r="E19" i="26"/>
  <c r="AD19" i="26" s="1"/>
  <c r="E6" i="26"/>
  <c r="AD6" i="26" s="1"/>
  <c r="E72" i="26"/>
  <c r="AD72" i="26" s="1"/>
  <c r="E52" i="26"/>
  <c r="AD52" i="26" s="1"/>
  <c r="E37" i="26"/>
  <c r="AD37" i="26" s="1"/>
  <c r="E22" i="26"/>
  <c r="AD22" i="26" s="1"/>
  <c r="E74" i="26"/>
  <c r="AD74" i="26" s="1"/>
  <c r="E59" i="26"/>
  <c r="AD59" i="26" s="1"/>
  <c r="E40" i="26"/>
  <c r="AD40" i="26" s="1"/>
  <c r="E24" i="26"/>
  <c r="AD24" i="26" s="1"/>
  <c r="E77" i="26"/>
  <c r="AD77" i="26" s="1"/>
  <c r="E61" i="26"/>
  <c r="AD61" i="26" s="1"/>
  <c r="E46" i="26"/>
  <c r="AD46" i="26" s="1"/>
  <c r="E31" i="26"/>
  <c r="AD31" i="26" s="1"/>
  <c r="E17" i="26"/>
  <c r="AD17" i="26" s="1"/>
  <c r="E80" i="26"/>
  <c r="AD80" i="26" s="1"/>
  <c r="E65" i="26"/>
  <c r="AD65" i="26" s="1"/>
  <c r="E49" i="26"/>
  <c r="AD49" i="26" s="1"/>
  <c r="E34" i="26"/>
  <c r="AD34" i="26" s="1"/>
  <c r="E16" i="26"/>
  <c r="AD16" i="26" s="1"/>
  <c r="E82" i="26"/>
  <c r="AD82" i="26" s="1"/>
  <c r="E68" i="26"/>
  <c r="AD68" i="26" s="1"/>
  <c r="E48" i="26"/>
  <c r="AD48" i="26" s="1"/>
  <c r="E33" i="26"/>
  <c r="AD33" i="26" s="1"/>
  <c r="E15" i="26"/>
  <c r="AD15" i="26" s="1"/>
  <c r="E5" i="26"/>
  <c r="AD5" i="26" s="1"/>
  <c r="E71" i="26"/>
  <c r="AD71" i="26" s="1"/>
  <c r="E55" i="26"/>
  <c r="AD55" i="26" s="1"/>
  <c r="E36" i="26"/>
  <c r="AD36" i="26" s="1"/>
  <c r="E21" i="26"/>
  <c r="AD21" i="26" s="1"/>
  <c r="E83" i="26"/>
  <c r="AD83" i="26" s="1"/>
  <c r="E66" i="26"/>
  <c r="AD66" i="26" s="1"/>
  <c r="E54" i="26"/>
  <c r="AD54" i="26" s="1"/>
  <c r="E39" i="26"/>
  <c r="AD39" i="26" s="1"/>
  <c r="E23" i="26"/>
  <c r="AD23" i="26" s="1"/>
  <c r="E7" i="26"/>
  <c r="AD7" i="26" s="1"/>
  <c r="E73" i="26"/>
  <c r="AD73" i="26" s="1"/>
  <c r="E57" i="26"/>
  <c r="AD57" i="26" s="1"/>
  <c r="E42" i="26"/>
  <c r="AD42" i="26" s="1"/>
  <c r="E26" i="26"/>
  <c r="AD26" i="26" s="1"/>
  <c r="E9" i="26"/>
  <c r="AD9" i="26" s="1"/>
  <c r="E75" i="26"/>
  <c r="AD75" i="26" s="1"/>
  <c r="E56" i="26"/>
  <c r="AD56" i="26" s="1"/>
  <c r="E41" i="26"/>
  <c r="AD41" i="26" s="1"/>
  <c r="E25" i="26"/>
  <c r="AD25" i="26" s="1"/>
  <c r="E10" i="26"/>
  <c r="AD10" i="26" s="1"/>
  <c r="E78" i="26"/>
  <c r="AD78" i="26" s="1"/>
  <c r="E64" i="26"/>
  <c r="AD64" i="26" s="1"/>
  <c r="E47" i="26"/>
  <c r="AD47" i="26" s="1"/>
  <c r="E28" i="26"/>
  <c r="AD28" i="26" s="1"/>
  <c r="E12" i="26"/>
  <c r="AD12" i="26" s="1"/>
  <c r="B65" i="33" l="1"/>
  <c r="B162" i="33"/>
  <c r="B192" i="33"/>
  <c r="B157" i="33"/>
  <c r="B91" i="33" s="1"/>
  <c r="E8" i="18"/>
  <c r="C124" i="18" s="1"/>
  <c r="C133" i="18" s="1"/>
  <c r="B27" i="18" s="1"/>
  <c r="AC58" i="32"/>
  <c r="AC68" i="32"/>
  <c r="AC76" i="32"/>
  <c r="AC66" i="32"/>
  <c r="AC63" i="32"/>
  <c r="AC70" i="32"/>
  <c r="AC69" i="32"/>
  <c r="AC19" i="32"/>
  <c r="AC9" i="32"/>
  <c r="AC32" i="32"/>
  <c r="AC17" i="32"/>
  <c r="AC43" i="32"/>
  <c r="AC20" i="32"/>
  <c r="AC55" i="32"/>
  <c r="AC52" i="32"/>
  <c r="AC64" i="32"/>
  <c r="AC30" i="32"/>
  <c r="AC25" i="32"/>
  <c r="AC62" i="32"/>
  <c r="I151" i="41"/>
  <c r="I61" i="41" s="1"/>
  <c r="B151" i="41"/>
  <c r="B61" i="41" s="1"/>
  <c r="B151" i="42"/>
  <c r="B61" i="42" s="1"/>
  <c r="I151" i="42"/>
  <c r="I61" i="42" s="1"/>
  <c r="D113" i="33"/>
  <c r="D112" i="42"/>
  <c r="W34" i="30"/>
  <c r="X34" i="30" s="1"/>
  <c r="Y34" i="30" s="1"/>
  <c r="Z34" i="30" s="1"/>
  <c r="W64" i="30"/>
  <c r="X64" i="30" s="1"/>
  <c r="Y64" i="30" s="1"/>
  <c r="Z64" i="30" s="1"/>
  <c r="W28" i="30"/>
  <c r="X28" i="30" s="1"/>
  <c r="Y28" i="30" s="1"/>
  <c r="W51" i="30"/>
  <c r="X51" i="30" s="1"/>
  <c r="Y51" i="30" s="1"/>
  <c r="W23" i="30"/>
  <c r="X23" i="30" s="1"/>
  <c r="Y23" i="30" s="1"/>
  <c r="Z23" i="30" s="1"/>
  <c r="W48" i="30"/>
  <c r="X48" i="30" s="1"/>
  <c r="Y48" i="30" s="1"/>
  <c r="Z48" i="30" s="1"/>
  <c r="AC19" i="37"/>
  <c r="C36" i="39" s="1"/>
  <c r="D113" i="42"/>
  <c r="D113" i="41"/>
  <c r="Z28" i="30"/>
  <c r="Z51" i="30"/>
  <c r="W57" i="31"/>
  <c r="X57" i="31" s="1"/>
  <c r="W40" i="31"/>
  <c r="X40" i="31" s="1"/>
  <c r="W4" i="31"/>
  <c r="X4" i="31" s="1"/>
  <c r="W41" i="31"/>
  <c r="X41" i="31" s="1"/>
  <c r="W11" i="31"/>
  <c r="X11" i="31" s="1"/>
  <c r="W9" i="31"/>
  <c r="X9" i="31" s="1"/>
  <c r="W56" i="31"/>
  <c r="X56" i="31" s="1"/>
  <c r="W31" i="31"/>
  <c r="X31" i="31" s="1"/>
  <c r="W71" i="31"/>
  <c r="X71" i="31" s="1"/>
  <c r="W13" i="31"/>
  <c r="X13" i="31" s="1"/>
  <c r="W27" i="31"/>
  <c r="X27" i="31" s="1"/>
  <c r="W70" i="31"/>
  <c r="X70" i="31" s="1"/>
  <c r="W55" i="31"/>
  <c r="X55" i="31" s="1"/>
  <c r="W45" i="31"/>
  <c r="X45" i="31" s="1"/>
  <c r="W62" i="31"/>
  <c r="X62" i="31" s="1"/>
  <c r="W34" i="31"/>
  <c r="X34" i="31" s="1"/>
  <c r="W60" i="31"/>
  <c r="X60" i="31" s="1"/>
  <c r="W54" i="31"/>
  <c r="X54" i="31" s="1"/>
  <c r="W53" i="31"/>
  <c r="X53" i="31" s="1"/>
  <c r="W78" i="31"/>
  <c r="X78" i="31" s="1"/>
  <c r="W42" i="31"/>
  <c r="X42" i="31" s="1"/>
  <c r="W19" i="31"/>
  <c r="X19" i="31" s="1"/>
  <c r="W63" i="31"/>
  <c r="X63" i="31" s="1"/>
  <c r="W81" i="31"/>
  <c r="X81" i="31" s="1"/>
  <c r="W48" i="31"/>
  <c r="X48" i="31" s="1"/>
  <c r="W83" i="31"/>
  <c r="X83" i="31" s="1"/>
  <c r="W41" i="30"/>
  <c r="X41" i="30" s="1"/>
  <c r="Y41" i="30" s="1"/>
  <c r="Z41" i="30" s="1"/>
  <c r="W57" i="30"/>
  <c r="X57" i="30" s="1"/>
  <c r="Y57" i="30" s="1"/>
  <c r="Z57" i="30" s="1"/>
  <c r="W62" i="30"/>
  <c r="X62" i="30" s="1"/>
  <c r="Y62" i="30" s="1"/>
  <c r="Z62" i="30" s="1"/>
  <c r="W47" i="30"/>
  <c r="X47" i="30" s="1"/>
  <c r="Y47" i="30" s="1"/>
  <c r="Z47" i="30" s="1"/>
  <c r="W18" i="30"/>
  <c r="X18" i="30" s="1"/>
  <c r="Y18" i="30" s="1"/>
  <c r="Z18" i="30" s="1"/>
  <c r="W82" i="30"/>
  <c r="X82" i="30" s="1"/>
  <c r="Y82" i="30" s="1"/>
  <c r="Z82" i="30" s="1"/>
  <c r="W21" i="30"/>
  <c r="X21" i="30" s="1"/>
  <c r="Y21" i="30" s="1"/>
  <c r="Z21" i="30" s="1"/>
  <c r="W30" i="30"/>
  <c r="X30" i="30" s="1"/>
  <c r="Y30" i="30" s="1"/>
  <c r="Z30" i="30" s="1"/>
  <c r="W35" i="30"/>
  <c r="X35" i="30" s="1"/>
  <c r="Y35" i="30" s="1"/>
  <c r="Z35" i="30" s="1"/>
  <c r="W37" i="30"/>
  <c r="X37" i="30" s="1"/>
  <c r="Y37" i="30" s="1"/>
  <c r="Z37" i="30" s="1"/>
  <c r="W49" i="30"/>
  <c r="X49" i="30" s="1"/>
  <c r="Y49" i="30" s="1"/>
  <c r="Z49" i="30" s="1"/>
  <c r="W66" i="30"/>
  <c r="X66" i="30" s="1"/>
  <c r="Y66" i="30" s="1"/>
  <c r="Z66" i="30" s="1"/>
  <c r="W80" i="30"/>
  <c r="X80" i="30" s="1"/>
  <c r="Y80" i="30" s="1"/>
  <c r="Z80" i="30" s="1"/>
  <c r="W46" i="30"/>
  <c r="X46" i="30" s="1"/>
  <c r="Y46" i="30" s="1"/>
  <c r="Z46" i="30" s="1"/>
  <c r="W43" i="30"/>
  <c r="X43" i="30" s="1"/>
  <c r="Y43" i="30" s="1"/>
  <c r="Z43" i="30" s="1"/>
  <c r="W19" i="30"/>
  <c r="X19" i="30" s="1"/>
  <c r="Y19" i="30" s="1"/>
  <c r="Z19" i="30" s="1"/>
  <c r="W31" i="30"/>
  <c r="X31" i="30" s="1"/>
  <c r="Y31" i="30" s="1"/>
  <c r="Z31" i="30" s="1"/>
  <c r="W14" i="30"/>
  <c r="X14" i="30" s="1"/>
  <c r="Y14" i="30" s="1"/>
  <c r="Z14" i="30" s="1"/>
  <c r="W8" i="30"/>
  <c r="X8" i="30" s="1"/>
  <c r="Y8" i="30" s="1"/>
  <c r="Z8" i="30" s="1"/>
  <c r="W68" i="30"/>
  <c r="X68" i="30" s="1"/>
  <c r="Y68" i="30" s="1"/>
  <c r="Z68" i="30" s="1"/>
  <c r="W12" i="30"/>
  <c r="X12" i="30" s="1"/>
  <c r="Y12" i="30" s="1"/>
  <c r="Z12" i="30" s="1"/>
  <c r="W6" i="30"/>
  <c r="X6" i="30" s="1"/>
  <c r="Y6" i="30" s="1"/>
  <c r="Z6" i="30" s="1"/>
  <c r="W54" i="30"/>
  <c r="X54" i="30" s="1"/>
  <c r="Y54" i="30" s="1"/>
  <c r="Z54" i="30" s="1"/>
  <c r="W42" i="30"/>
  <c r="X42" i="30" s="1"/>
  <c r="Y42" i="30" s="1"/>
  <c r="Z42" i="30" s="1"/>
  <c r="W72" i="30"/>
  <c r="X72" i="30" s="1"/>
  <c r="Y72" i="30" s="1"/>
  <c r="Z72" i="30" s="1"/>
  <c r="W17" i="30"/>
  <c r="X17" i="30" s="1"/>
  <c r="Y17" i="30" s="1"/>
  <c r="Z17" i="30" s="1"/>
  <c r="W71" i="30"/>
  <c r="X71" i="30" s="1"/>
  <c r="Y71" i="30" s="1"/>
  <c r="Z71" i="30" s="1"/>
  <c r="W76" i="30"/>
  <c r="X76" i="30" s="1"/>
  <c r="Y76" i="30" s="1"/>
  <c r="Z76" i="30" s="1"/>
  <c r="W78" i="30"/>
  <c r="X78" i="30" s="1"/>
  <c r="Y78" i="30" s="1"/>
  <c r="Z78" i="30" s="1"/>
  <c r="W52" i="30"/>
  <c r="X52" i="30" s="1"/>
  <c r="Y52" i="30" s="1"/>
  <c r="Z52" i="30" s="1"/>
  <c r="W67" i="30"/>
  <c r="X67" i="30" s="1"/>
  <c r="Y67" i="30" s="1"/>
  <c r="Z67" i="30" s="1"/>
  <c r="W53" i="30"/>
  <c r="X53" i="30" s="1"/>
  <c r="Y53" i="30" s="1"/>
  <c r="Z53" i="30" s="1"/>
  <c r="W39" i="30"/>
  <c r="X39" i="30" s="1"/>
  <c r="Y39" i="30" s="1"/>
  <c r="Z39" i="30" s="1"/>
  <c r="W69" i="30"/>
  <c r="X69" i="30" s="1"/>
  <c r="Y69" i="30" s="1"/>
  <c r="Z69" i="30" s="1"/>
  <c r="W22" i="30"/>
  <c r="X22" i="30" s="1"/>
  <c r="Y22" i="30" s="1"/>
  <c r="Z22" i="30" s="1"/>
  <c r="W45" i="30"/>
  <c r="X45" i="30" s="1"/>
  <c r="Y45" i="30" s="1"/>
  <c r="Z45" i="30" s="1"/>
  <c r="W70" i="30"/>
  <c r="X70" i="30" s="1"/>
  <c r="Y70" i="30" s="1"/>
  <c r="Z70" i="30" s="1"/>
  <c r="W29" i="30"/>
  <c r="X29" i="30" s="1"/>
  <c r="Y29" i="30" s="1"/>
  <c r="Z29" i="30" s="1"/>
  <c r="W84" i="30"/>
  <c r="X84" i="30" s="1"/>
  <c r="Y84" i="30" s="1"/>
  <c r="Z84" i="30" s="1"/>
  <c r="W59" i="30"/>
  <c r="X59" i="30" s="1"/>
  <c r="Y59" i="30" s="1"/>
  <c r="Z59" i="30" s="1"/>
  <c r="W65" i="30"/>
  <c r="X65" i="30" s="1"/>
  <c r="Y65" i="30" s="1"/>
  <c r="Z65" i="30" s="1"/>
  <c r="W9" i="30"/>
  <c r="X9" i="30" s="1"/>
  <c r="Y9" i="30" s="1"/>
  <c r="Z9" i="30" s="1"/>
  <c r="W10" i="30"/>
  <c r="X10" i="30" s="1"/>
  <c r="Y10" i="30" s="1"/>
  <c r="Z10" i="30" s="1"/>
  <c r="W11" i="30"/>
  <c r="X11" i="30" s="1"/>
  <c r="Y11" i="30" s="1"/>
  <c r="Z11" i="30" s="1"/>
  <c r="W40" i="30"/>
  <c r="X40" i="30" s="1"/>
  <c r="Y40" i="30" s="1"/>
  <c r="Z40" i="30" s="1"/>
  <c r="W27" i="30"/>
  <c r="X27" i="30" s="1"/>
  <c r="Y27" i="30" s="1"/>
  <c r="Z27" i="30" s="1"/>
  <c r="W56" i="30"/>
  <c r="X56" i="30" s="1"/>
  <c r="Y56" i="30" s="1"/>
  <c r="Z56" i="30" s="1"/>
  <c r="W73" i="30"/>
  <c r="X73" i="30" s="1"/>
  <c r="Y73" i="30" s="1"/>
  <c r="Z73" i="30" s="1"/>
  <c r="W16" i="30"/>
  <c r="X16" i="30" s="1"/>
  <c r="Y16" i="30" s="1"/>
  <c r="Z16" i="30" s="1"/>
  <c r="W4" i="30"/>
  <c r="X4" i="30" s="1"/>
  <c r="Y4" i="30" s="1"/>
  <c r="Z4" i="30" s="1"/>
  <c r="W38" i="30"/>
  <c r="X38" i="30" s="1"/>
  <c r="Y38" i="30" s="1"/>
  <c r="Z38" i="30" s="1"/>
  <c r="W81" i="30"/>
  <c r="X81" i="30" s="1"/>
  <c r="Y81" i="30" s="1"/>
  <c r="Z81" i="30" s="1"/>
  <c r="W61" i="30"/>
  <c r="X61" i="30" s="1"/>
  <c r="Y61" i="30" s="1"/>
  <c r="Z61" i="30" s="1"/>
  <c r="AC38" i="32"/>
  <c r="AC51" i="32"/>
  <c r="AC72" i="32"/>
  <c r="AC75" i="32"/>
  <c r="AC73" i="32"/>
  <c r="AC50" i="32"/>
  <c r="AC74" i="32"/>
  <c r="AC21" i="32"/>
  <c r="AC11" i="32"/>
  <c r="AC42" i="32"/>
  <c r="AC10" i="32"/>
  <c r="AC82" i="32"/>
  <c r="AC36" i="32"/>
  <c r="W21" i="32"/>
  <c r="W75" i="32"/>
  <c r="W65" i="32"/>
  <c r="AC56" i="32"/>
  <c r="AC13" i="32"/>
  <c r="AC6" i="32"/>
  <c r="AC65" i="32"/>
  <c r="AC37" i="32"/>
  <c r="AC40" i="32"/>
  <c r="AC24" i="32"/>
  <c r="AC18" i="32"/>
  <c r="AC29" i="32"/>
  <c r="AC12" i="32"/>
  <c r="AC48" i="32"/>
  <c r="AC57" i="32"/>
  <c r="AC61" i="32"/>
  <c r="AC53" i="32"/>
  <c r="AC71" i="32"/>
  <c r="AC27" i="32"/>
  <c r="AC34" i="32"/>
  <c r="AC46" i="32"/>
  <c r="AC28" i="32"/>
  <c r="AC15" i="32"/>
  <c r="AC8" i="32"/>
  <c r="AC16" i="32"/>
  <c r="AC35" i="32"/>
  <c r="AC78" i="32"/>
  <c r="AC83" i="32"/>
  <c r="AC81" i="32"/>
  <c r="AC80" i="32"/>
  <c r="AC23" i="32"/>
  <c r="AC67" i="32"/>
  <c r="AC59" i="32"/>
  <c r="AC33" i="32"/>
  <c r="AC26" i="32"/>
  <c r="AC4" i="32"/>
  <c r="AC84" i="32"/>
  <c r="AC5" i="32"/>
  <c r="AC69" i="31"/>
  <c r="AC48" i="31"/>
  <c r="AC60" i="31"/>
  <c r="AC42" i="31"/>
  <c r="AC45" i="31"/>
  <c r="W58" i="31"/>
  <c r="X58" i="31" s="1"/>
  <c r="AC34" i="31"/>
  <c r="AC26" i="31"/>
  <c r="AC17" i="31"/>
  <c r="AC25" i="31"/>
  <c r="W6" i="31"/>
  <c r="X6" i="31" s="1"/>
  <c r="W69" i="31"/>
  <c r="X69" i="31" s="1"/>
  <c r="W25" i="31"/>
  <c r="X25" i="31" s="1"/>
  <c r="W24" i="31"/>
  <c r="X24" i="31" s="1"/>
  <c r="W26" i="31"/>
  <c r="X26" i="31" s="1"/>
  <c r="AC62" i="31"/>
  <c r="AC37" i="31"/>
  <c r="W17" i="31"/>
  <c r="X17" i="31" s="1"/>
  <c r="AC41" i="31"/>
  <c r="AC61" i="31"/>
  <c r="AC11" i="31"/>
  <c r="AC81" i="31"/>
  <c r="W73" i="31"/>
  <c r="X73" i="31" s="1"/>
  <c r="W29" i="31"/>
  <c r="X29" i="31" s="1"/>
  <c r="W23" i="31"/>
  <c r="X23" i="31" s="1"/>
  <c r="W38" i="31"/>
  <c r="X38" i="31" s="1"/>
  <c r="AC54" i="31"/>
  <c r="AC8" i="31"/>
  <c r="AC9" i="31"/>
  <c r="W5" i="31"/>
  <c r="X5" i="31" s="1"/>
  <c r="AC43" i="31"/>
  <c r="AC70" i="31"/>
  <c r="AC21" i="31"/>
  <c r="W8" i="31"/>
  <c r="X8" i="31" s="1"/>
  <c r="W43" i="31"/>
  <c r="X43" i="31" s="1"/>
  <c r="W30" i="31"/>
  <c r="X30" i="31" s="1"/>
  <c r="W68" i="31"/>
  <c r="X68" i="31" s="1"/>
  <c r="W22" i="31"/>
  <c r="X22" i="31" s="1"/>
  <c r="W12" i="31"/>
  <c r="X12" i="31" s="1"/>
  <c r="W21" i="31"/>
  <c r="X21" i="31" s="1"/>
  <c r="W84" i="31"/>
  <c r="X84" i="31" s="1"/>
  <c r="W72" i="31"/>
  <c r="X72" i="31" s="1"/>
  <c r="W16" i="31"/>
  <c r="X16" i="31" s="1"/>
  <c r="W82" i="31"/>
  <c r="X82" i="31" s="1"/>
  <c r="W47" i="31"/>
  <c r="X47" i="31" s="1"/>
  <c r="AC75" i="31"/>
  <c r="W76" i="31"/>
  <c r="X76" i="31" s="1"/>
  <c r="AC57" i="31"/>
  <c r="AC44" i="31"/>
  <c r="W7" i="31"/>
  <c r="X7" i="31" s="1"/>
  <c r="AC36" i="31"/>
  <c r="AC46" i="31"/>
  <c r="AC29" i="31"/>
  <c r="AC51" i="31"/>
  <c r="AC38" i="31"/>
  <c r="AC84" i="31"/>
  <c r="W28" i="31"/>
  <c r="X28" i="31" s="1"/>
  <c r="AC50" i="31"/>
  <c r="X44" i="31"/>
  <c r="Y44" i="31" s="1"/>
  <c r="Z44" i="31" s="1"/>
  <c r="W75" i="31"/>
  <c r="X75" i="31" s="1"/>
  <c r="AC53" i="31"/>
  <c r="AC64" i="31"/>
  <c r="AC13" i="31"/>
  <c r="W14" i="31"/>
  <c r="X14" i="31" s="1"/>
  <c r="AC6" i="31"/>
  <c r="W51" i="31"/>
  <c r="X51" i="31" s="1"/>
  <c r="W52" i="31"/>
  <c r="X52" i="31" s="1"/>
  <c r="W59" i="31"/>
  <c r="X59" i="31" s="1"/>
  <c r="W79" i="31"/>
  <c r="X79" i="31" s="1"/>
  <c r="W65" i="31"/>
  <c r="X65" i="31" s="1"/>
  <c r="W37" i="31"/>
  <c r="X37" i="31" s="1"/>
  <c r="W64" i="31"/>
  <c r="X64" i="31" s="1"/>
  <c r="AC19" i="31"/>
  <c r="AC35" i="31"/>
  <c r="W15" i="31"/>
  <c r="X15" i="31" s="1"/>
  <c r="AC30" i="31"/>
  <c r="AC58" i="31"/>
  <c r="W10" i="31"/>
  <c r="X10" i="31" s="1"/>
  <c r="W61" i="31"/>
  <c r="X61" i="31" s="1"/>
  <c r="AC67" i="31"/>
  <c r="AC12" i="31"/>
  <c r="AC78" i="31"/>
  <c r="W66" i="31"/>
  <c r="X66" i="31" s="1"/>
  <c r="W33" i="31"/>
  <c r="X33" i="31" s="1"/>
  <c r="W77" i="31"/>
  <c r="X77" i="31" s="1"/>
  <c r="W80" i="31"/>
  <c r="X80" i="31" s="1"/>
  <c r="AC27" i="31"/>
  <c r="AC18" i="31"/>
  <c r="W50" i="31"/>
  <c r="X50" i="31" s="1"/>
  <c r="AC74" i="31"/>
  <c r="AC71" i="31"/>
  <c r="AC20" i="31"/>
  <c r="W49" i="31"/>
  <c r="X49" i="31" s="1"/>
  <c r="W32" i="31"/>
  <c r="X32" i="31" s="1"/>
  <c r="W67" i="31"/>
  <c r="X67" i="31" s="1"/>
  <c r="AC31" i="31"/>
  <c r="AC49" i="31"/>
  <c r="AC22" i="31"/>
  <c r="AC73" i="31"/>
  <c r="AC4" i="31"/>
  <c r="AC55" i="31"/>
  <c r="AC14" i="31"/>
  <c r="AC32" i="31"/>
  <c r="W39" i="31"/>
  <c r="X39" i="31" s="1"/>
  <c r="AC8" i="30"/>
  <c r="AC56" i="30"/>
  <c r="AC12" i="30"/>
  <c r="AC43" i="30"/>
  <c r="AC41" i="30"/>
  <c r="AC18" i="30"/>
  <c r="AC72" i="30"/>
  <c r="AC38" i="30"/>
  <c r="AC6" i="30"/>
  <c r="AC5" i="30"/>
  <c r="AC15" i="30"/>
  <c r="AC74" i="30"/>
  <c r="W13" i="30"/>
  <c r="X13" i="30" s="1"/>
  <c r="Y13" i="30" s="1"/>
  <c r="Z13" i="30" s="1"/>
  <c r="AC75" i="30"/>
  <c r="AC76" i="30"/>
  <c r="AC64" i="30"/>
  <c r="AC23" i="30"/>
  <c r="AC68" i="30"/>
  <c r="AC39" i="30"/>
  <c r="W58" i="30"/>
  <c r="X58" i="30" s="1"/>
  <c r="Y58" i="30" s="1"/>
  <c r="Z58" i="30" s="1"/>
  <c r="W36" i="30"/>
  <c r="X36" i="30" s="1"/>
  <c r="Y36" i="30" s="1"/>
  <c r="Z36" i="30" s="1"/>
  <c r="AC26" i="30"/>
  <c r="AC21" i="30"/>
  <c r="AC81" i="30"/>
  <c r="AC31" i="30"/>
  <c r="AC9" i="30"/>
  <c r="AC27" i="30"/>
  <c r="AC29" i="30"/>
  <c r="W83" i="30"/>
  <c r="X83" i="30" s="1"/>
  <c r="Y83" i="30" s="1"/>
  <c r="Z83" i="30" s="1"/>
  <c r="AC48" i="30"/>
  <c r="AC17" i="30"/>
  <c r="AC62" i="30"/>
  <c r="AC53" i="30"/>
  <c r="AC69" i="30"/>
  <c r="AC80" i="30"/>
  <c r="W33" i="30"/>
  <c r="X33" i="30" s="1"/>
  <c r="Y33" i="30" s="1"/>
  <c r="Z33" i="30" s="1"/>
  <c r="W25" i="30"/>
  <c r="X25" i="30" s="1"/>
  <c r="Y25" i="30" s="1"/>
  <c r="Z25" i="30" s="1"/>
  <c r="AC22" i="30"/>
  <c r="W79" i="30"/>
  <c r="X79" i="30" s="1"/>
  <c r="Y79" i="30" s="1"/>
  <c r="Z79" i="30" s="1"/>
  <c r="AC33" i="30"/>
  <c r="AC66" i="30"/>
  <c r="AC30" i="30"/>
  <c r="AC11" i="30"/>
  <c r="AC78" i="30"/>
  <c r="AC59" i="30"/>
  <c r="W7" i="30"/>
  <c r="X7" i="30" s="1"/>
  <c r="Y7" i="30" s="1"/>
  <c r="Z7" i="30" s="1"/>
  <c r="W32" i="30"/>
  <c r="X32" i="30" s="1"/>
  <c r="Y32" i="30" s="1"/>
  <c r="Z32" i="30" s="1"/>
  <c r="AC37" i="30"/>
  <c r="W55" i="30"/>
  <c r="X55" i="30" s="1"/>
  <c r="Y55" i="30" s="1"/>
  <c r="Z55" i="30" s="1"/>
  <c r="AC47" i="30"/>
  <c r="AC40" i="30"/>
  <c r="W63" i="30"/>
  <c r="X63" i="30" s="1"/>
  <c r="Y63" i="30" s="1"/>
  <c r="Z63" i="30" s="1"/>
  <c r="AC4" i="30"/>
  <c r="W20" i="30"/>
  <c r="X20" i="30" s="1"/>
  <c r="Y20" i="30" s="1"/>
  <c r="Z20" i="30" s="1"/>
  <c r="W50" i="30"/>
  <c r="X50" i="30" s="1"/>
  <c r="Y50" i="30" s="1"/>
  <c r="Z50" i="30" s="1"/>
  <c r="W26" i="30"/>
  <c r="X26" i="30" s="1"/>
  <c r="Y26" i="30" s="1"/>
  <c r="Z26" i="30" s="1"/>
  <c r="W77" i="30"/>
  <c r="X77" i="30" s="1"/>
  <c r="Y77" i="30" s="1"/>
  <c r="Z77" i="30" s="1"/>
  <c r="W24" i="30"/>
  <c r="X24" i="30" s="1"/>
  <c r="Y24" i="30" s="1"/>
  <c r="Z24" i="30" s="1"/>
  <c r="AC65" i="30"/>
  <c r="AC71" i="30"/>
  <c r="AC67" i="30"/>
  <c r="AC10" i="30"/>
  <c r="AC84" i="30"/>
  <c r="AC34" i="30"/>
  <c r="AC52" i="30"/>
  <c r="W74" i="30"/>
  <c r="X74" i="30" s="1"/>
  <c r="Y74" i="30" s="1"/>
  <c r="Z74" i="30" s="1"/>
  <c r="W5" i="30"/>
  <c r="X5" i="30" s="1"/>
  <c r="Y5" i="30" s="1"/>
  <c r="Z5" i="30" s="1"/>
  <c r="W15" i="30"/>
  <c r="X15" i="30" s="1"/>
  <c r="Y15" i="30" s="1"/>
  <c r="Z15" i="30" s="1"/>
  <c r="AC46" i="30"/>
  <c r="W75" i="30"/>
  <c r="X75" i="30" s="1"/>
  <c r="Y75" i="30" s="1"/>
  <c r="Z75" i="30" s="1"/>
  <c r="W60" i="30"/>
  <c r="X60" i="30" s="1"/>
  <c r="Y60" i="30" s="1"/>
  <c r="Z60" i="30" s="1"/>
  <c r="AD34" i="10"/>
  <c r="AD54" i="10"/>
  <c r="AD46" i="10"/>
  <c r="AD21" i="10"/>
  <c r="AD55" i="10"/>
  <c r="AD59" i="10"/>
  <c r="AD52" i="10"/>
  <c r="AD81" i="10"/>
  <c r="AC19" i="10"/>
  <c r="AD20" i="10"/>
  <c r="AD61" i="10"/>
  <c r="AD50" i="10"/>
  <c r="AD82" i="10"/>
  <c r="AD10" i="10"/>
  <c r="AD9" i="10"/>
  <c r="AD63" i="10"/>
  <c r="AD14" i="10"/>
  <c r="AD22" i="10"/>
  <c r="AD49" i="10"/>
  <c r="AD40" i="10"/>
  <c r="AD39" i="10"/>
  <c r="AC42" i="10"/>
  <c r="AD53" i="10"/>
  <c r="AD65" i="10"/>
  <c r="AD13" i="10"/>
  <c r="AD12" i="10"/>
  <c r="AD29" i="10"/>
  <c r="AC69" i="10"/>
  <c r="AC21" i="10"/>
  <c r="AD76" i="10"/>
  <c r="AD73" i="10"/>
  <c r="AC53" i="10"/>
  <c r="AC9" i="10"/>
  <c r="AD84" i="10"/>
  <c r="AC62" i="10"/>
  <c r="AC68" i="10"/>
  <c r="AD30" i="10"/>
  <c r="AD6" i="10"/>
  <c r="AC52" i="10"/>
  <c r="AC10" i="10"/>
  <c r="AD24" i="10"/>
  <c r="AD71" i="10"/>
  <c r="AC13" i="10"/>
  <c r="AC17" i="10"/>
  <c r="AC72" i="10"/>
  <c r="AC60" i="10"/>
  <c r="AC15" i="10"/>
  <c r="AC28" i="10"/>
  <c r="AC26" i="10"/>
  <c r="AC39" i="10"/>
  <c r="AC22" i="10"/>
  <c r="AD17" i="10"/>
  <c r="AD36" i="10"/>
  <c r="AC81" i="10"/>
  <c r="AC14" i="10"/>
  <c r="AC46" i="10"/>
  <c r="AC20" i="10"/>
  <c r="AC40" i="10"/>
  <c r="AC84" i="10"/>
  <c r="AC38" i="10"/>
  <c r="AC45" i="10"/>
  <c r="AD56" i="10"/>
  <c r="AD8" i="10"/>
  <c r="AD27" i="10"/>
  <c r="AD25" i="10"/>
  <c r="AC23" i="10"/>
  <c r="AC11" i="10"/>
  <c r="AC47" i="10"/>
  <c r="AC51" i="10"/>
  <c r="AC77" i="10"/>
  <c r="AC6" i="10"/>
  <c r="AC80" i="10"/>
  <c r="AC12" i="10"/>
  <c r="AC78" i="10"/>
  <c r="AC43" i="10"/>
  <c r="AD16" i="10"/>
  <c r="AD31" i="10"/>
  <c r="AD4" i="10"/>
  <c r="AD67" i="10"/>
  <c r="AC63" i="10"/>
  <c r="AC71" i="10"/>
  <c r="AC75" i="10"/>
  <c r="AC41" i="10"/>
  <c r="AC4" i="10"/>
  <c r="AC27" i="10"/>
  <c r="AC83" i="10"/>
  <c r="AD62" i="10"/>
  <c r="AD69" i="10"/>
  <c r="AC82" i="10"/>
  <c r="AC18" i="10"/>
  <c r="AC57" i="10"/>
  <c r="AC16" i="10"/>
  <c r="AC54" i="10"/>
  <c r="AC64" i="10"/>
  <c r="AC55" i="10"/>
  <c r="AC79" i="10"/>
  <c r="AD32" i="10"/>
  <c r="AD26" i="10"/>
  <c r="AD75" i="10"/>
  <c r="AD83" i="10"/>
  <c r="AD57" i="10"/>
  <c r="AD43" i="10"/>
  <c r="AC33" i="10"/>
  <c r="AC7" i="10"/>
  <c r="AC76" i="10"/>
  <c r="AC31" i="10"/>
  <c r="AC37" i="10"/>
  <c r="AC25" i="10"/>
  <c r="AC8" i="10"/>
  <c r="AC5" i="10"/>
  <c r="AC49" i="10"/>
  <c r="AD48" i="10"/>
  <c r="AD66" i="10"/>
  <c r="AD58" i="10"/>
  <c r="AD60" i="10"/>
  <c r="AC29" i="10"/>
  <c r="AC50" i="10"/>
  <c r="AC48" i="10"/>
  <c r="AC36" i="10"/>
  <c r="AC56" i="10"/>
  <c r="AC59" i="10"/>
  <c r="AC65" i="10"/>
  <c r="AC70" i="10"/>
  <c r="AC58" i="10"/>
  <c r="AC61" i="10"/>
  <c r="AC34" i="10"/>
  <c r="E44" i="30"/>
  <c r="AC44" i="30"/>
  <c r="F44" i="10"/>
  <c r="AD44" i="10"/>
  <c r="E14" i="32"/>
  <c r="AC14" i="32"/>
  <c r="E7" i="32"/>
  <c r="AC7" i="32"/>
  <c r="E15" i="32"/>
  <c r="AC44" i="32"/>
  <c r="E39" i="32"/>
  <c r="AC39" i="32"/>
  <c r="E60" i="32"/>
  <c r="AC60" i="32"/>
  <c r="E49" i="32"/>
  <c r="AC49" i="32"/>
  <c r="E47" i="32"/>
  <c r="AC47" i="32"/>
  <c r="E83" i="32"/>
  <c r="B188" i="41"/>
  <c r="B28" i="41" s="1"/>
  <c r="B153" i="41"/>
  <c r="B63" i="41" s="1"/>
  <c r="B149" i="41"/>
  <c r="B57" i="41" s="1"/>
  <c r="B152" i="41"/>
  <c r="B62" i="41" s="1"/>
  <c r="B148" i="41"/>
  <c r="B56" i="41" s="1"/>
  <c r="B150" i="41"/>
  <c r="B58" i="41" s="1"/>
  <c r="B164" i="33"/>
  <c r="B102" i="33" s="1"/>
  <c r="B159" i="33"/>
  <c r="B94" i="33" s="1"/>
  <c r="I162" i="33"/>
  <c r="I99" i="33" s="1"/>
  <c r="B160" i="33"/>
  <c r="B95" i="33" s="1"/>
  <c r="B99" i="33"/>
  <c r="B163" i="33"/>
  <c r="B101" i="33" s="1"/>
  <c r="B158" i="33"/>
  <c r="B93" i="33" s="1"/>
  <c r="B166" i="33"/>
  <c r="B104" i="33" s="1"/>
  <c r="B165" i="33"/>
  <c r="B103" i="33" s="1"/>
  <c r="B161" i="33"/>
  <c r="B96" i="33" s="1"/>
  <c r="B188" i="42"/>
  <c r="B28" i="42" s="1"/>
  <c r="B150" i="42"/>
  <c r="B58" i="42" s="1"/>
  <c r="B153" i="42"/>
  <c r="B63" i="42" s="1"/>
  <c r="B149" i="42"/>
  <c r="B57" i="42" s="1"/>
  <c r="B152" i="42"/>
  <c r="B62" i="42" s="1"/>
  <c r="B148" i="42"/>
  <c r="B56" i="42" s="1"/>
  <c r="G148" i="42"/>
  <c r="G56" i="42" s="1"/>
  <c r="E148" i="41"/>
  <c r="E56" i="41" s="1"/>
  <c r="B66" i="33"/>
  <c r="W36" i="32"/>
  <c r="W49" i="32"/>
  <c r="W77" i="32"/>
  <c r="E26" i="31"/>
  <c r="E57" i="31"/>
  <c r="AD57" i="31" s="1"/>
  <c r="E17" i="31"/>
  <c r="AD17" i="31" s="1"/>
  <c r="E55" i="32"/>
  <c r="E64" i="32"/>
  <c r="E30" i="32"/>
  <c r="E75" i="32"/>
  <c r="E25" i="32"/>
  <c r="E20" i="32"/>
  <c r="E76" i="32"/>
  <c r="Y4" i="37"/>
  <c r="E32" i="32"/>
  <c r="E17" i="32"/>
  <c r="D151" i="42"/>
  <c r="D61" i="42" s="1"/>
  <c r="E151" i="42"/>
  <c r="E61" i="42" s="1"/>
  <c r="D148" i="42"/>
  <c r="D56" i="42" s="1"/>
  <c r="C151" i="41"/>
  <c r="C61" i="41" s="1"/>
  <c r="G151" i="42"/>
  <c r="G61" i="42" s="1"/>
  <c r="F148" i="42"/>
  <c r="F56" i="42" s="1"/>
  <c r="C151" i="42"/>
  <c r="C61" i="42" s="1"/>
  <c r="C145" i="42"/>
  <c r="F151" i="42"/>
  <c r="F61" i="42" s="1"/>
  <c r="C148" i="42"/>
  <c r="C56" i="42" s="1"/>
  <c r="E148" i="42"/>
  <c r="E56" i="42" s="1"/>
  <c r="C148" i="41"/>
  <c r="C56" i="41" s="1"/>
  <c r="G151" i="41"/>
  <c r="G61" i="41" s="1"/>
  <c r="G148" i="41"/>
  <c r="G56" i="41" s="1"/>
  <c r="F148" i="41"/>
  <c r="F56" i="41" s="1"/>
  <c r="D148" i="41"/>
  <c r="D56" i="41" s="1"/>
  <c r="D151" i="41"/>
  <c r="D61" i="41" s="1"/>
  <c r="C145" i="41"/>
  <c r="F151" i="41"/>
  <c r="F61" i="41" s="1"/>
  <c r="E151" i="41"/>
  <c r="E61" i="41" s="1"/>
  <c r="E56" i="31"/>
  <c r="AD56" i="31" s="1"/>
  <c r="E5" i="31"/>
  <c r="AD5" i="31" s="1"/>
  <c r="W6" i="32"/>
  <c r="W10" i="32"/>
  <c r="W17" i="32"/>
  <c r="W26" i="32"/>
  <c r="E82" i="30"/>
  <c r="E72" i="30"/>
  <c r="E83" i="31"/>
  <c r="AD83" i="31" s="1"/>
  <c r="E13" i="32"/>
  <c r="E11" i="32"/>
  <c r="E59" i="32"/>
  <c r="E57" i="32"/>
  <c r="E5" i="32"/>
  <c r="E62" i="32"/>
  <c r="E66" i="32"/>
  <c r="E12" i="32"/>
  <c r="E79" i="32"/>
  <c r="E67" i="32"/>
  <c r="E72" i="32"/>
  <c r="E84" i="32"/>
  <c r="E33" i="32"/>
  <c r="E80" i="32"/>
  <c r="E38" i="32"/>
  <c r="E41" i="32"/>
  <c r="E51" i="32"/>
  <c r="E69" i="32"/>
  <c r="E8" i="32"/>
  <c r="E52" i="32"/>
  <c r="E58" i="32"/>
  <c r="E82" i="32"/>
  <c r="E40" i="32"/>
  <c r="E22" i="32"/>
  <c r="E27" i="32"/>
  <c r="E45" i="32"/>
  <c r="E34" i="32"/>
  <c r="E23" i="32"/>
  <c r="E54" i="32"/>
  <c r="E36" i="32"/>
  <c r="E24" i="32"/>
  <c r="E31" i="32"/>
  <c r="E43" i="32"/>
  <c r="E56" i="32"/>
  <c r="E68" i="32"/>
  <c r="E81" i="32"/>
  <c r="E18" i="32"/>
  <c r="E16" i="32"/>
  <c r="E19" i="32"/>
  <c r="E35" i="32"/>
  <c r="E9" i="32"/>
  <c r="E78" i="32"/>
  <c r="W61" i="32"/>
  <c r="E46" i="32"/>
  <c r="E28" i="32"/>
  <c r="E29" i="32"/>
  <c r="E74" i="32"/>
  <c r="E48" i="32"/>
  <c r="E37" i="32"/>
  <c r="E21" i="32"/>
  <c r="E77" i="32"/>
  <c r="E6" i="32"/>
  <c r="E70" i="32"/>
  <c r="E44" i="32"/>
  <c r="E61" i="32"/>
  <c r="E42" i="32"/>
  <c r="E26" i="32"/>
  <c r="E10" i="32"/>
  <c r="E53" i="32"/>
  <c r="E4" i="32"/>
  <c r="E71" i="32"/>
  <c r="E63" i="32"/>
  <c r="E65" i="32"/>
  <c r="E73" i="32"/>
  <c r="E50" i="32"/>
  <c r="E61" i="31"/>
  <c r="W27" i="32"/>
  <c r="E32" i="31"/>
  <c r="W57" i="32"/>
  <c r="W11" i="32"/>
  <c r="E71" i="30"/>
  <c r="F5" i="10"/>
  <c r="W19" i="32"/>
  <c r="W67" i="32"/>
  <c r="W72" i="32"/>
  <c r="W78" i="32"/>
  <c r="W53" i="32"/>
  <c r="W60" i="32"/>
  <c r="W22" i="32"/>
  <c r="W40" i="32"/>
  <c r="W12" i="32"/>
  <c r="W25" i="32"/>
  <c r="W54" i="32"/>
  <c r="W58" i="32"/>
  <c r="W23" i="32"/>
  <c r="W34" i="32"/>
  <c r="W5" i="32"/>
  <c r="W68" i="32"/>
  <c r="W32" i="32"/>
  <c r="W24" i="32"/>
  <c r="W41" i="32"/>
  <c r="W13" i="32"/>
  <c r="W20" i="32"/>
  <c r="W64" i="32"/>
  <c r="W69" i="32"/>
  <c r="W44" i="32"/>
  <c r="X44" i="32" s="1"/>
  <c r="Y44" i="32" s="1"/>
  <c r="Z44" i="32" s="1"/>
  <c r="W35" i="32"/>
  <c r="W15" i="32"/>
  <c r="W14" i="32"/>
  <c r="W63" i="32"/>
  <c r="W76" i="32"/>
  <c r="W30" i="32"/>
  <c r="W28" i="32"/>
  <c r="W45" i="32"/>
  <c r="X45" i="32" s="1"/>
  <c r="Y45" i="32" s="1"/>
  <c r="Z45" i="32" s="1"/>
  <c r="W81" i="32"/>
  <c r="W71" i="32"/>
  <c r="W80" i="32"/>
  <c r="W33" i="32"/>
  <c r="W50" i="32"/>
  <c r="W8" i="32"/>
  <c r="W29" i="32"/>
  <c r="W52" i="32"/>
  <c r="X52" i="32" s="1"/>
  <c r="Y52" i="32" s="1"/>
  <c r="Z52" i="32" s="1"/>
  <c r="W56" i="32"/>
  <c r="W31" i="32"/>
  <c r="W70" i="32"/>
  <c r="W42" i="32"/>
  <c r="W55" i="32"/>
  <c r="W82" i="32"/>
  <c r="W83" i="32"/>
  <c r="W39" i="32"/>
  <c r="X39" i="32" s="1"/>
  <c r="Y39" i="32" s="1"/>
  <c r="Z39" i="32" s="1"/>
  <c r="W7" i="32"/>
  <c r="W18" i="32"/>
  <c r="W9" i="32"/>
  <c r="W66" i="32"/>
  <c r="W16" i="32"/>
  <c r="W4" i="32"/>
  <c r="W43" i="32"/>
  <c r="W38" i="32"/>
  <c r="X38" i="32" s="1"/>
  <c r="Y38" i="32" s="1"/>
  <c r="Z38" i="32" s="1"/>
  <c r="W37" i="32"/>
  <c r="W74" i="32"/>
  <c r="W73" i="32"/>
  <c r="W47" i="32"/>
  <c r="W51" i="32"/>
  <c r="W62" i="32"/>
  <c r="W84" i="32"/>
  <c r="W46" i="32"/>
  <c r="X46" i="32" s="1"/>
  <c r="Y46" i="32" s="1"/>
  <c r="Z46" i="32" s="1"/>
  <c r="W48" i="32"/>
  <c r="W79" i="32"/>
  <c r="W59" i="32"/>
  <c r="E64" i="30"/>
  <c r="E44" i="31"/>
  <c r="E67" i="30"/>
  <c r="E54" i="30"/>
  <c r="E28" i="30"/>
  <c r="E10" i="30"/>
  <c r="E17" i="30"/>
  <c r="E42" i="30"/>
  <c r="E58" i="30"/>
  <c r="E63" i="30"/>
  <c r="E38" i="30"/>
  <c r="E50" i="30"/>
  <c r="F81" i="10"/>
  <c r="F63" i="10"/>
  <c r="F68" i="10"/>
  <c r="E49" i="31"/>
  <c r="AD49" i="31" s="1"/>
  <c r="E51" i="31"/>
  <c r="AD51" i="31" s="1"/>
  <c r="E76" i="31"/>
  <c r="E63" i="31"/>
  <c r="AD63" i="31" s="1"/>
  <c r="E65" i="31"/>
  <c r="AD65" i="31" s="1"/>
  <c r="E15" i="31"/>
  <c r="AD15" i="31" s="1"/>
  <c r="E82" i="31"/>
  <c r="AD82" i="31" s="1"/>
  <c r="E53" i="31"/>
  <c r="AD53" i="31" s="1"/>
  <c r="E73" i="31"/>
  <c r="F54" i="10"/>
  <c r="F21" i="10"/>
  <c r="F35" i="10"/>
  <c r="F59" i="10"/>
  <c r="F46" i="10"/>
  <c r="F55" i="10"/>
  <c r="F78" i="10"/>
  <c r="E22" i="31"/>
  <c r="AD22" i="31" s="1"/>
  <c r="E42" i="31"/>
  <c r="AD42" i="31" s="1"/>
  <c r="E37" i="31"/>
  <c r="E75" i="31"/>
  <c r="AD75" i="31" s="1"/>
  <c r="E16" i="31"/>
  <c r="AD16" i="31" s="1"/>
  <c r="E46" i="31"/>
  <c r="AD46" i="31" s="1"/>
  <c r="E40" i="31"/>
  <c r="AD40" i="31" s="1"/>
  <c r="E68" i="31"/>
  <c r="AD68" i="31" s="1"/>
  <c r="E72" i="31"/>
  <c r="E27" i="31"/>
  <c r="AD27" i="31" s="1"/>
  <c r="E77" i="31"/>
  <c r="E18" i="31"/>
  <c r="AD18" i="31" s="1"/>
  <c r="E78" i="31"/>
  <c r="AD78" i="31" s="1"/>
  <c r="E39" i="31"/>
  <c r="E33" i="31"/>
  <c r="AD33" i="31" s="1"/>
  <c r="E81" i="31"/>
  <c r="AD81" i="31" s="1"/>
  <c r="E25" i="31"/>
  <c r="AD25" i="31" s="1"/>
  <c r="E12" i="30"/>
  <c r="E45" i="30"/>
  <c r="E47" i="31"/>
  <c r="AD47" i="31" s="1"/>
  <c r="E24" i="31"/>
  <c r="AD24" i="31" s="1"/>
  <c r="E28" i="31"/>
  <c r="AD28" i="31" s="1"/>
  <c r="E12" i="31"/>
  <c r="E43" i="31"/>
  <c r="AD43" i="31" s="1"/>
  <c r="E38" i="31"/>
  <c r="E21" i="31"/>
  <c r="E36" i="31"/>
  <c r="AD36" i="31" s="1"/>
  <c r="E13" i="31"/>
  <c r="AD13" i="31" s="1"/>
  <c r="E23" i="31"/>
  <c r="AD23" i="31" s="1"/>
  <c r="E80" i="31"/>
  <c r="AD80" i="31" s="1"/>
  <c r="E10" i="31"/>
  <c r="E74" i="31"/>
  <c r="AD74" i="31" s="1"/>
  <c r="E11" i="31"/>
  <c r="AD11" i="31" s="1"/>
  <c r="E52" i="31"/>
  <c r="E55" i="31"/>
  <c r="AD55" i="31" s="1"/>
  <c r="E50" i="31"/>
  <c r="AD50" i="31" s="1"/>
  <c r="E4" i="31"/>
  <c r="AD4" i="31" s="1"/>
  <c r="E48" i="31"/>
  <c r="AD48" i="31" s="1"/>
  <c r="E62" i="31"/>
  <c r="AD62" i="31" s="1"/>
  <c r="E6" i="31"/>
  <c r="AD6" i="31" s="1"/>
  <c r="E64" i="31"/>
  <c r="E71" i="31"/>
  <c r="AD71" i="31" s="1"/>
  <c r="E30" i="31"/>
  <c r="AD30" i="31" s="1"/>
  <c r="E58" i="31"/>
  <c r="AD58" i="31" s="1"/>
  <c r="E54" i="31"/>
  <c r="AD54" i="31" s="1"/>
  <c r="E8" i="31"/>
  <c r="E9" i="31"/>
  <c r="AD9" i="31" s="1"/>
  <c r="E67" i="31"/>
  <c r="E45" i="31"/>
  <c r="AD45" i="31" s="1"/>
  <c r="E7" i="31"/>
  <c r="AD7" i="31" s="1"/>
  <c r="E79" i="31"/>
  <c r="AD79" i="31" s="1"/>
  <c r="E66" i="31"/>
  <c r="AD66" i="31" s="1"/>
  <c r="E29" i="31"/>
  <c r="E60" i="31"/>
  <c r="AD60" i="31" s="1"/>
  <c r="E34" i="31"/>
  <c r="AD34" i="31" s="1"/>
  <c r="E19" i="31"/>
  <c r="AD19" i="31" s="1"/>
  <c r="E35" i="31"/>
  <c r="AD35" i="31" s="1"/>
  <c r="E41" i="31"/>
  <c r="AD41" i="31" s="1"/>
  <c r="E70" i="31"/>
  <c r="AD70" i="31" s="1"/>
  <c r="E84" i="31"/>
  <c r="AD84" i="31" s="1"/>
  <c r="E14" i="31"/>
  <c r="AD14" i="31" s="1"/>
  <c r="E20" i="31"/>
  <c r="AD20" i="31" s="1"/>
  <c r="E69" i="31"/>
  <c r="AD69" i="31" s="1"/>
  <c r="E31" i="31"/>
  <c r="AD31" i="31" s="1"/>
  <c r="E57" i="30"/>
  <c r="E16" i="30"/>
  <c r="E35" i="30"/>
  <c r="E55" i="30"/>
  <c r="E7" i="30"/>
  <c r="E30" i="30"/>
  <c r="E49" i="30"/>
  <c r="E15" i="30"/>
  <c r="E19" i="30"/>
  <c r="E56" i="30"/>
  <c r="F30" i="10"/>
  <c r="F45" i="10"/>
  <c r="E59" i="31"/>
  <c r="AD59" i="31" s="1"/>
  <c r="E6" i="30"/>
  <c r="E43" i="30"/>
  <c r="E61" i="30"/>
  <c r="E5" i="30"/>
  <c r="E14" i="30"/>
  <c r="F60" i="10"/>
  <c r="E77" i="30"/>
  <c r="E21" i="30"/>
  <c r="E51" i="30"/>
  <c r="E68" i="38"/>
  <c r="AD68" i="38" s="1"/>
  <c r="E112" i="33"/>
  <c r="D18" i="34"/>
  <c r="D19" i="34" s="1"/>
  <c r="E36" i="30"/>
  <c r="E69" i="30"/>
  <c r="E80" i="30"/>
  <c r="E32" i="30"/>
  <c r="E83" i="30"/>
  <c r="F28" i="10"/>
  <c r="F22" i="10"/>
  <c r="F13" i="10"/>
  <c r="E81" i="37"/>
  <c r="AD81" i="37" s="1"/>
  <c r="E63" i="37"/>
  <c r="AD63" i="37" s="1"/>
  <c r="E67" i="37"/>
  <c r="AD67" i="37" s="1"/>
  <c r="E16" i="37"/>
  <c r="AD16" i="37" s="1"/>
  <c r="E22" i="37"/>
  <c r="AD22" i="37" s="1"/>
  <c r="E84" i="37"/>
  <c r="AD84" i="37" s="1"/>
  <c r="E28" i="37"/>
  <c r="AD28" i="37" s="1"/>
  <c r="E79" i="37"/>
  <c r="AD79" i="37" s="1"/>
  <c r="E47" i="37"/>
  <c r="AD47" i="37" s="1"/>
  <c r="E41" i="37"/>
  <c r="AD41" i="37" s="1"/>
  <c r="E52" i="37"/>
  <c r="AD52" i="37" s="1"/>
  <c r="E54" i="37"/>
  <c r="AD54" i="37" s="1"/>
  <c r="E56" i="37"/>
  <c r="AD56" i="37" s="1"/>
  <c r="E49" i="37"/>
  <c r="AD49" i="37" s="1"/>
  <c r="E58" i="37"/>
  <c r="AD58" i="37" s="1"/>
  <c r="E13" i="37"/>
  <c r="AD13" i="37" s="1"/>
  <c r="E4" i="37"/>
  <c r="AD4" i="37" s="1"/>
  <c r="E10" i="37"/>
  <c r="AD10" i="37" s="1"/>
  <c r="E5" i="37"/>
  <c r="AD5" i="37" s="1"/>
  <c r="E32" i="37"/>
  <c r="AD32" i="37" s="1"/>
  <c r="F7" i="10"/>
  <c r="F79" i="10"/>
  <c r="F26" i="10"/>
  <c r="F84" i="10"/>
  <c r="E52" i="30"/>
  <c r="E22" i="30"/>
  <c r="E33" i="30"/>
  <c r="E65" i="30"/>
  <c r="E18" i="30"/>
  <c r="F12" i="10"/>
  <c r="F56" i="10"/>
  <c r="E80" i="36"/>
  <c r="AD80" i="36" s="1"/>
  <c r="E45" i="36"/>
  <c r="AD45" i="36" s="1"/>
  <c r="E28" i="36"/>
  <c r="AD28" i="36" s="1"/>
  <c r="E6" i="36"/>
  <c r="AD6" i="36" s="1"/>
  <c r="E26" i="36"/>
  <c r="AD26" i="36" s="1"/>
  <c r="E49" i="36"/>
  <c r="AD49" i="36" s="1"/>
  <c r="E50" i="36"/>
  <c r="AD50" i="36" s="1"/>
  <c r="E79" i="36"/>
  <c r="AD79" i="36" s="1"/>
  <c r="E43" i="36"/>
  <c r="AD43" i="36" s="1"/>
  <c r="E23" i="36"/>
  <c r="AD23" i="36" s="1"/>
  <c r="E39" i="36"/>
  <c r="AD39" i="36" s="1"/>
  <c r="E71" i="36"/>
  <c r="AD71" i="36" s="1"/>
  <c r="E36" i="36"/>
  <c r="AD36" i="36" s="1"/>
  <c r="E34" i="36"/>
  <c r="AD34" i="36" s="1"/>
  <c r="E4" i="36"/>
  <c r="AD4" i="36" s="1"/>
  <c r="E76" i="36"/>
  <c r="AD76" i="36" s="1"/>
  <c r="E55" i="36"/>
  <c r="AD55" i="36" s="1"/>
  <c r="E73" i="36"/>
  <c r="AD73" i="36" s="1"/>
  <c r="E10" i="36"/>
  <c r="AD10" i="36" s="1"/>
  <c r="E44" i="36"/>
  <c r="AD44" i="36" s="1"/>
  <c r="F58" i="10"/>
  <c r="E112" i="18"/>
  <c r="D18" i="17"/>
  <c r="D19" i="17" s="1"/>
  <c r="F9" i="10"/>
  <c r="F83" i="10"/>
  <c r="E29" i="38"/>
  <c r="AD29" i="38" s="1"/>
  <c r="E11" i="38"/>
  <c r="AD11" i="38" s="1"/>
  <c r="E76" i="38"/>
  <c r="AD76" i="38" s="1"/>
  <c r="E39" i="38"/>
  <c r="AD39" i="38" s="1"/>
  <c r="E5" i="38"/>
  <c r="AD5" i="38" s="1"/>
  <c r="E70" i="38"/>
  <c r="AD70" i="38" s="1"/>
  <c r="E65" i="38"/>
  <c r="AD65" i="38" s="1"/>
  <c r="E63" i="38"/>
  <c r="AD63" i="38" s="1"/>
  <c r="E84" i="38"/>
  <c r="AD84" i="38" s="1"/>
  <c r="E23" i="38"/>
  <c r="AD23" i="38" s="1"/>
  <c r="E53" i="38"/>
  <c r="AD53" i="38" s="1"/>
  <c r="E56" i="38"/>
  <c r="AD56" i="38" s="1"/>
  <c r="E67" i="38"/>
  <c r="AD67" i="38" s="1"/>
  <c r="E48" i="38"/>
  <c r="AD48" i="38" s="1"/>
  <c r="E20" i="38"/>
  <c r="AD20" i="38" s="1"/>
  <c r="E19" i="38"/>
  <c r="AD19" i="38" s="1"/>
  <c r="E26" i="38"/>
  <c r="AD26" i="38" s="1"/>
  <c r="E41" i="38"/>
  <c r="AD41" i="38" s="1"/>
  <c r="E80" i="38"/>
  <c r="AD80" i="38" s="1"/>
  <c r="E79" i="38"/>
  <c r="AD79" i="38" s="1"/>
  <c r="E81" i="38"/>
  <c r="AD81" i="38" s="1"/>
  <c r="E4" i="38"/>
  <c r="AD4" i="38" s="1"/>
  <c r="E18" i="38"/>
  <c r="AD18" i="38" s="1"/>
  <c r="E43" i="38"/>
  <c r="AD43" i="38" s="1"/>
  <c r="F36" i="10"/>
  <c r="F14" i="10"/>
  <c r="F39" i="10"/>
  <c r="F61" i="10"/>
  <c r="F49" i="10"/>
  <c r="F34" i="10"/>
  <c r="F73" i="10"/>
  <c r="F24" i="10"/>
  <c r="F23" i="10"/>
  <c r="F33" i="10"/>
  <c r="E25" i="30"/>
  <c r="E11" i="30"/>
  <c r="E78" i="30"/>
  <c r="E70" i="30"/>
  <c r="E59" i="30"/>
  <c r="E76" i="30"/>
  <c r="F47" i="10"/>
  <c r="E31" i="37"/>
  <c r="AD31" i="37" s="1"/>
  <c r="E50" i="37"/>
  <c r="AD50" i="37" s="1"/>
  <c r="E59" i="37"/>
  <c r="AD59" i="37" s="1"/>
  <c r="E19" i="37"/>
  <c r="AD19" i="37" s="1"/>
  <c r="E25" i="37"/>
  <c r="AD25" i="37" s="1"/>
  <c r="E33" i="37"/>
  <c r="AD33" i="37" s="1"/>
  <c r="E44" i="37"/>
  <c r="AD44" i="37" s="1"/>
  <c r="E26" i="37"/>
  <c r="AD26" i="37" s="1"/>
  <c r="E29" i="37"/>
  <c r="AD29" i="37" s="1"/>
  <c r="E20" i="37"/>
  <c r="AD20" i="37" s="1"/>
  <c r="E40" i="37"/>
  <c r="AD40" i="37" s="1"/>
  <c r="E7" i="37"/>
  <c r="AD7" i="37" s="1"/>
  <c r="E39" i="37"/>
  <c r="AD39" i="37" s="1"/>
  <c r="E27" i="37"/>
  <c r="AD27" i="37" s="1"/>
  <c r="E46" i="37"/>
  <c r="AD46" i="37" s="1"/>
  <c r="E17" i="37"/>
  <c r="AD17" i="37" s="1"/>
  <c r="E66" i="37"/>
  <c r="AD66" i="37" s="1"/>
  <c r="E73" i="37"/>
  <c r="AD73" i="37" s="1"/>
  <c r="E72" i="37"/>
  <c r="AD72" i="37" s="1"/>
  <c r="E21" i="37"/>
  <c r="AD21" i="37" s="1"/>
  <c r="F16" i="10"/>
  <c r="F38" i="10"/>
  <c r="F17" i="10"/>
  <c r="E41" i="30"/>
  <c r="E37" i="30"/>
  <c r="E20" i="30"/>
  <c r="E48" i="30"/>
  <c r="E66" i="30"/>
  <c r="F64" i="10"/>
  <c r="E14" i="36"/>
  <c r="AD14" i="36" s="1"/>
  <c r="E9" i="36"/>
  <c r="AD9" i="36" s="1"/>
  <c r="E57" i="36"/>
  <c r="AD57" i="36" s="1"/>
  <c r="E8" i="36"/>
  <c r="AD8" i="36" s="1"/>
  <c r="E70" i="36"/>
  <c r="AD70" i="36" s="1"/>
  <c r="E84" i="36"/>
  <c r="AD84" i="36" s="1"/>
  <c r="E32" i="36"/>
  <c r="AD32" i="36" s="1"/>
  <c r="E18" i="36"/>
  <c r="AD18" i="36" s="1"/>
  <c r="E33" i="36"/>
  <c r="AD33" i="36" s="1"/>
  <c r="E22" i="36"/>
  <c r="AD22" i="36" s="1"/>
  <c r="E78" i="36"/>
  <c r="AD78" i="36" s="1"/>
  <c r="E66" i="36"/>
  <c r="AD66" i="36" s="1"/>
  <c r="E35" i="36"/>
  <c r="AD35" i="36" s="1"/>
  <c r="E15" i="36"/>
  <c r="AD15" i="36" s="1"/>
  <c r="E24" i="36"/>
  <c r="AD24" i="36" s="1"/>
  <c r="E29" i="36"/>
  <c r="AD29" i="36" s="1"/>
  <c r="E52" i="36"/>
  <c r="AD52" i="36" s="1"/>
  <c r="E38" i="36"/>
  <c r="AD38" i="36" s="1"/>
  <c r="E64" i="36"/>
  <c r="AD64" i="36" s="1"/>
  <c r="E81" i="36"/>
  <c r="AD81" i="36" s="1"/>
  <c r="E20" i="36"/>
  <c r="AD20" i="36" s="1"/>
  <c r="F25" i="10"/>
  <c r="F52" i="10"/>
  <c r="F74" i="10"/>
  <c r="F20" i="10"/>
  <c r="E51" i="38"/>
  <c r="AD51" i="38" s="1"/>
  <c r="E74" i="38"/>
  <c r="AD74" i="38" s="1"/>
  <c r="E14" i="38"/>
  <c r="AD14" i="38" s="1"/>
  <c r="E47" i="38"/>
  <c r="AD47" i="38" s="1"/>
  <c r="E15" i="38"/>
  <c r="AD15" i="38" s="1"/>
  <c r="E21" i="38"/>
  <c r="AD21" i="38" s="1"/>
  <c r="E22" i="38"/>
  <c r="AD22" i="38" s="1"/>
  <c r="D18" i="40"/>
  <c r="D19" i="40" s="1"/>
  <c r="E112" i="42"/>
  <c r="E13" i="38"/>
  <c r="AD13" i="38" s="1"/>
  <c r="E69" i="38"/>
  <c r="AD69" i="38" s="1"/>
  <c r="E24" i="38"/>
  <c r="AD24" i="38" s="1"/>
  <c r="E30" i="38"/>
  <c r="AD30" i="38" s="1"/>
  <c r="E32" i="38"/>
  <c r="AD32" i="38" s="1"/>
  <c r="E31" i="38"/>
  <c r="AD31" i="38" s="1"/>
  <c r="E28" i="38"/>
  <c r="AD28" i="38" s="1"/>
  <c r="E36" i="38"/>
  <c r="AD36" i="38" s="1"/>
  <c r="E49" i="38"/>
  <c r="AD49" i="38" s="1"/>
  <c r="E73" i="38"/>
  <c r="AD73" i="38" s="1"/>
  <c r="E83" i="38"/>
  <c r="AD83" i="38" s="1"/>
  <c r="E8" i="38"/>
  <c r="AD8" i="38" s="1"/>
  <c r="E6" i="38"/>
  <c r="AD6" i="38" s="1"/>
  <c r="E25" i="38"/>
  <c r="AD25" i="38" s="1"/>
  <c r="E54" i="38"/>
  <c r="AD54" i="38" s="1"/>
  <c r="E58" i="38"/>
  <c r="AD58" i="38" s="1"/>
  <c r="E61" i="38"/>
  <c r="AD61" i="38" s="1"/>
  <c r="E71" i="38"/>
  <c r="AD71" i="38" s="1"/>
  <c r="E57" i="38"/>
  <c r="AD57" i="38" s="1"/>
  <c r="E77" i="38"/>
  <c r="AD77" i="38" s="1"/>
  <c r="F18" i="10"/>
  <c r="F48" i="10"/>
  <c r="F82" i="10"/>
  <c r="E81" i="30"/>
  <c r="F4" i="10"/>
  <c r="F29" i="10"/>
  <c r="F32" i="10"/>
  <c r="F66" i="10"/>
  <c r="E23" i="30"/>
  <c r="E47" i="30"/>
  <c r="E74" i="30"/>
  <c r="E40" i="30"/>
  <c r="E68" i="30"/>
  <c r="F50" i="10"/>
  <c r="F71" i="10"/>
  <c r="E57" i="37"/>
  <c r="AD57" i="37" s="1"/>
  <c r="E35" i="37"/>
  <c r="AD35" i="37" s="1"/>
  <c r="E61" i="37"/>
  <c r="AD61" i="37" s="1"/>
  <c r="E71" i="37"/>
  <c r="AD71" i="37" s="1"/>
  <c r="E12" i="37"/>
  <c r="AD12" i="37" s="1"/>
  <c r="E78" i="37"/>
  <c r="AD78" i="37" s="1"/>
  <c r="E74" i="37"/>
  <c r="AD74" i="37" s="1"/>
  <c r="E80" i="37"/>
  <c r="AD80" i="37" s="1"/>
  <c r="E6" i="37"/>
  <c r="AD6" i="37" s="1"/>
  <c r="E82" i="37"/>
  <c r="AD82" i="37" s="1"/>
  <c r="E30" i="37"/>
  <c r="AD30" i="37" s="1"/>
  <c r="E53" i="37"/>
  <c r="AD53" i="37" s="1"/>
  <c r="E14" i="37"/>
  <c r="AD14" i="37" s="1"/>
  <c r="E8" i="37"/>
  <c r="AD8" i="37" s="1"/>
  <c r="E34" i="37"/>
  <c r="AD34" i="37" s="1"/>
  <c r="E15" i="37"/>
  <c r="AD15" i="37" s="1"/>
  <c r="E51" i="37"/>
  <c r="AD51" i="37" s="1"/>
  <c r="E45" i="37"/>
  <c r="AD45" i="37" s="1"/>
  <c r="E55" i="37"/>
  <c r="AD55" i="37" s="1"/>
  <c r="E38" i="37"/>
  <c r="AD38" i="37" s="1"/>
  <c r="F37" i="10"/>
  <c r="F51" i="10"/>
  <c r="E13" i="30"/>
  <c r="E24" i="30"/>
  <c r="E39" i="30"/>
  <c r="E4" i="30"/>
  <c r="E75" i="30"/>
  <c r="E112" i="41"/>
  <c r="D18" i="39"/>
  <c r="D19" i="39" s="1"/>
  <c r="E74" i="36"/>
  <c r="AD74" i="36" s="1"/>
  <c r="E62" i="36"/>
  <c r="AD62" i="36" s="1"/>
  <c r="E59" i="36"/>
  <c r="AD59" i="36" s="1"/>
  <c r="E48" i="36"/>
  <c r="AD48" i="36" s="1"/>
  <c r="E16" i="36"/>
  <c r="AD16" i="36" s="1"/>
  <c r="E30" i="36"/>
  <c r="AD30" i="36" s="1"/>
  <c r="E11" i="36"/>
  <c r="AD11" i="36" s="1"/>
  <c r="E31" i="36"/>
  <c r="AD31" i="36" s="1"/>
  <c r="E63" i="36"/>
  <c r="AD63" i="36" s="1"/>
  <c r="E58" i="36"/>
  <c r="AD58" i="36" s="1"/>
  <c r="E56" i="36"/>
  <c r="AD56" i="36" s="1"/>
  <c r="E7" i="36"/>
  <c r="AD7" i="36" s="1"/>
  <c r="E17" i="36"/>
  <c r="AD17" i="36" s="1"/>
  <c r="E72" i="36"/>
  <c r="AD72" i="36" s="1"/>
  <c r="E5" i="36"/>
  <c r="AD5" i="36" s="1"/>
  <c r="E12" i="36"/>
  <c r="AD12" i="36" s="1"/>
  <c r="E77" i="36"/>
  <c r="AD77" i="36" s="1"/>
  <c r="E19" i="36"/>
  <c r="AD19" i="36" s="1"/>
  <c r="E46" i="36"/>
  <c r="AD46" i="36" s="1"/>
  <c r="E69" i="36"/>
  <c r="AD69" i="36" s="1"/>
  <c r="F57" i="10"/>
  <c r="F67" i="10"/>
  <c r="F6" i="10"/>
  <c r="F11" i="10"/>
  <c r="E46" i="38"/>
  <c r="AD46" i="38" s="1"/>
  <c r="E27" i="38"/>
  <c r="AD27" i="38" s="1"/>
  <c r="E10" i="38"/>
  <c r="AD10" i="38" s="1"/>
  <c r="E82" i="38"/>
  <c r="AD82" i="38" s="1"/>
  <c r="E40" i="38"/>
  <c r="AD40" i="38" s="1"/>
  <c r="E59" i="38"/>
  <c r="AD59" i="38" s="1"/>
  <c r="E9" i="38"/>
  <c r="AD9" i="38" s="1"/>
  <c r="E37" i="38"/>
  <c r="AD37" i="38" s="1"/>
  <c r="F42" i="10"/>
  <c r="F15" i="10"/>
  <c r="F40" i="10"/>
  <c r="E52" i="38"/>
  <c r="AD52" i="38" s="1"/>
  <c r="E12" i="38"/>
  <c r="AD12" i="38" s="1"/>
  <c r="E78" i="38"/>
  <c r="AD78" i="38" s="1"/>
  <c r="E44" i="38"/>
  <c r="AD44" i="38" s="1"/>
  <c r="E72" i="38"/>
  <c r="AD72" i="38" s="1"/>
  <c r="E50" i="38"/>
  <c r="AD50" i="38" s="1"/>
  <c r="E45" i="38"/>
  <c r="AD45" i="38" s="1"/>
  <c r="E17" i="38"/>
  <c r="AD17" i="38" s="1"/>
  <c r="E16" i="38"/>
  <c r="AD16" i="38" s="1"/>
  <c r="E33" i="38"/>
  <c r="AD33" i="38" s="1"/>
  <c r="E60" i="38"/>
  <c r="AD60" i="38" s="1"/>
  <c r="E64" i="38"/>
  <c r="AD64" i="38" s="1"/>
  <c r="E66" i="38"/>
  <c r="AD66" i="38" s="1"/>
  <c r="E75" i="38"/>
  <c r="AD75" i="38" s="1"/>
  <c r="E7" i="38"/>
  <c r="AD7" i="38" s="1"/>
  <c r="E35" i="38"/>
  <c r="AD35" i="38" s="1"/>
  <c r="E34" i="38"/>
  <c r="AD34" i="38" s="1"/>
  <c r="E42" i="38"/>
  <c r="AD42" i="38" s="1"/>
  <c r="E55" i="38"/>
  <c r="AD55" i="38" s="1"/>
  <c r="E62" i="38"/>
  <c r="AD62" i="38" s="1"/>
  <c r="E38" i="38"/>
  <c r="AD38" i="38" s="1"/>
  <c r="F27" i="10"/>
  <c r="F72" i="10"/>
  <c r="F19" i="10"/>
  <c r="E84" i="30"/>
  <c r="E73" i="30"/>
  <c r="E62" i="30"/>
  <c r="E53" i="30"/>
  <c r="E34" i="30"/>
  <c r="F62" i="10"/>
  <c r="F77" i="10"/>
  <c r="F53" i="10"/>
  <c r="E31" i="30"/>
  <c r="E8" i="30"/>
  <c r="E79" i="30"/>
  <c r="E9" i="30"/>
  <c r="E27" i="30"/>
  <c r="F10" i="10"/>
  <c r="F80" i="10"/>
  <c r="F8" i="10"/>
  <c r="E11" i="37"/>
  <c r="AD11" i="37" s="1"/>
  <c r="E48" i="37"/>
  <c r="AD48" i="37" s="1"/>
  <c r="E43" i="37"/>
  <c r="AD43" i="37" s="1"/>
  <c r="E65" i="37"/>
  <c r="AD65" i="37" s="1"/>
  <c r="E64" i="37"/>
  <c r="AD64" i="37" s="1"/>
  <c r="E37" i="37"/>
  <c r="AD37" i="37" s="1"/>
  <c r="E75" i="37"/>
  <c r="AD75" i="37" s="1"/>
  <c r="E83" i="37"/>
  <c r="AD83" i="37" s="1"/>
  <c r="E62" i="37"/>
  <c r="AD62" i="37" s="1"/>
  <c r="E68" i="37"/>
  <c r="AD68" i="37" s="1"/>
  <c r="E69" i="37"/>
  <c r="AD69" i="37" s="1"/>
  <c r="E18" i="37"/>
  <c r="AD18" i="37" s="1"/>
  <c r="E70" i="37"/>
  <c r="AD70" i="37" s="1"/>
  <c r="E76" i="37"/>
  <c r="AD76" i="37" s="1"/>
  <c r="E77" i="37"/>
  <c r="AD77" i="37" s="1"/>
  <c r="E24" i="37"/>
  <c r="AD24" i="37" s="1"/>
  <c r="E60" i="37"/>
  <c r="AD60" i="37" s="1"/>
  <c r="E36" i="37"/>
  <c r="AD36" i="37" s="1"/>
  <c r="E23" i="37"/>
  <c r="AD23" i="37" s="1"/>
  <c r="E42" i="37"/>
  <c r="AD42" i="37" s="1"/>
  <c r="E9" i="37"/>
  <c r="AD9" i="37" s="1"/>
  <c r="F70" i="10"/>
  <c r="F65" i="10"/>
  <c r="E60" i="30"/>
  <c r="E29" i="30"/>
  <c r="E26" i="30"/>
  <c r="E46" i="30"/>
  <c r="F75" i="10"/>
  <c r="F31" i="10"/>
  <c r="E25" i="36"/>
  <c r="AD25" i="36" s="1"/>
  <c r="E51" i="36"/>
  <c r="AD51" i="36" s="1"/>
  <c r="E47" i="36"/>
  <c r="AD47" i="36" s="1"/>
  <c r="E40" i="36"/>
  <c r="AD40" i="36" s="1"/>
  <c r="E75" i="36"/>
  <c r="AD75" i="36" s="1"/>
  <c r="E13" i="36"/>
  <c r="AD13" i="36" s="1"/>
  <c r="E68" i="36"/>
  <c r="AD68" i="36" s="1"/>
  <c r="E61" i="36"/>
  <c r="AD61" i="36" s="1"/>
  <c r="E83" i="36"/>
  <c r="AD83" i="36" s="1"/>
  <c r="E41" i="36"/>
  <c r="AD41" i="36" s="1"/>
  <c r="E37" i="36"/>
  <c r="AD37" i="36" s="1"/>
  <c r="E42" i="36"/>
  <c r="AD42" i="36" s="1"/>
  <c r="E54" i="36"/>
  <c r="AD54" i="36" s="1"/>
  <c r="E53" i="36"/>
  <c r="AD53" i="36" s="1"/>
  <c r="E21" i="36"/>
  <c r="AD21" i="36" s="1"/>
  <c r="E65" i="36"/>
  <c r="AD65" i="36" s="1"/>
  <c r="E67" i="36"/>
  <c r="AD67" i="36" s="1"/>
  <c r="E82" i="36"/>
  <c r="AD82" i="36" s="1"/>
  <c r="E27" i="36"/>
  <c r="AD27" i="36" s="1"/>
  <c r="E60" i="36"/>
  <c r="AD60" i="36" s="1"/>
  <c r="F69" i="10"/>
  <c r="F43" i="10"/>
  <c r="F76" i="10"/>
  <c r="F41" i="10"/>
  <c r="E113" i="18"/>
  <c r="D47" i="17"/>
  <c r="D48" i="17" s="1"/>
  <c r="G157" i="33"/>
  <c r="G92" i="33" s="1"/>
  <c r="E162" i="33"/>
  <c r="E100" i="33" s="1"/>
  <c r="D162" i="33"/>
  <c r="D100" i="33" s="1"/>
  <c r="F162" i="33"/>
  <c r="F100" i="33" s="1"/>
  <c r="E157" i="33"/>
  <c r="E92" i="33" s="1"/>
  <c r="D157" i="33"/>
  <c r="D92" i="33" s="1"/>
  <c r="C157" i="33"/>
  <c r="C92" i="33" s="1"/>
  <c r="G162" i="33"/>
  <c r="G100" i="33" s="1"/>
  <c r="F157" i="33"/>
  <c r="F92" i="33" s="1"/>
  <c r="C162" i="33"/>
  <c r="C100" i="33" s="1"/>
  <c r="C36" i="17"/>
  <c r="C37" i="17" s="1"/>
  <c r="F64" i="26"/>
  <c r="AE64" i="26" s="1"/>
  <c r="F41" i="26"/>
  <c r="AE41" i="26" s="1"/>
  <c r="F57" i="26"/>
  <c r="AE57" i="26" s="1"/>
  <c r="F21" i="26"/>
  <c r="AE21" i="26" s="1"/>
  <c r="F24" i="26"/>
  <c r="AE24" i="26" s="1"/>
  <c r="F28" i="26"/>
  <c r="AE28" i="26" s="1"/>
  <c r="F10" i="26"/>
  <c r="AE10" i="26" s="1"/>
  <c r="F75" i="26"/>
  <c r="AE75" i="26" s="1"/>
  <c r="F26" i="26"/>
  <c r="AE26" i="26" s="1"/>
  <c r="F7" i="26"/>
  <c r="AE7" i="26" s="1"/>
  <c r="F39" i="26"/>
  <c r="AE39" i="26" s="1"/>
  <c r="F66" i="26"/>
  <c r="AE66" i="26" s="1"/>
  <c r="F55" i="26"/>
  <c r="AE55" i="26" s="1"/>
  <c r="F5" i="26"/>
  <c r="AE5" i="26" s="1"/>
  <c r="F33" i="26"/>
  <c r="AE33" i="26" s="1"/>
  <c r="F68" i="26"/>
  <c r="AE68" i="26" s="1"/>
  <c r="F16" i="26"/>
  <c r="AE16" i="26" s="1"/>
  <c r="F49" i="26"/>
  <c r="AE49" i="26" s="1"/>
  <c r="F80" i="26"/>
  <c r="AE80" i="26" s="1"/>
  <c r="F31" i="26"/>
  <c r="AE31" i="26" s="1"/>
  <c r="F61" i="26"/>
  <c r="AE61" i="26" s="1"/>
  <c r="F59" i="26"/>
  <c r="AE59" i="26" s="1"/>
  <c r="F22" i="26"/>
  <c r="AE22" i="26" s="1"/>
  <c r="F52" i="26"/>
  <c r="AE52" i="26" s="1"/>
  <c r="F6" i="26"/>
  <c r="AE6" i="26" s="1"/>
  <c r="F38" i="26"/>
  <c r="AE38" i="26" s="1"/>
  <c r="F69" i="26"/>
  <c r="AE69" i="26" s="1"/>
  <c r="F20" i="26"/>
  <c r="AE20" i="26" s="1"/>
  <c r="F63" i="26"/>
  <c r="AE63" i="26" s="1"/>
  <c r="F32" i="26"/>
  <c r="AE32" i="26" s="1"/>
  <c r="F67" i="26"/>
  <c r="AE67" i="26" s="1"/>
  <c r="F13" i="26"/>
  <c r="AE13" i="26" s="1"/>
  <c r="F44" i="26"/>
  <c r="AE44" i="26" s="1"/>
  <c r="F79" i="26"/>
  <c r="AE79" i="26" s="1"/>
  <c r="F30" i="26"/>
  <c r="AE30" i="26" s="1"/>
  <c r="F60" i="26"/>
  <c r="AE60" i="26" s="1"/>
  <c r="F14" i="26"/>
  <c r="AE14" i="26" s="1"/>
  <c r="F43" i="26"/>
  <c r="AE43" i="26" s="1"/>
  <c r="F70" i="26"/>
  <c r="AE70" i="26" s="1"/>
  <c r="F35" i="26"/>
  <c r="AE35" i="26" s="1"/>
  <c r="F12" i="26"/>
  <c r="AE12" i="26" s="1"/>
  <c r="F47" i="26"/>
  <c r="AE47" i="26" s="1"/>
  <c r="F78" i="26"/>
  <c r="AE78" i="26" s="1"/>
  <c r="F25" i="26"/>
  <c r="AE25" i="26" s="1"/>
  <c r="F56" i="26"/>
  <c r="AE56" i="26" s="1"/>
  <c r="F9" i="26"/>
  <c r="AE9" i="26" s="1"/>
  <c r="F42" i="26"/>
  <c r="AE42" i="26" s="1"/>
  <c r="F73" i="26"/>
  <c r="AE73" i="26" s="1"/>
  <c r="F23" i="26"/>
  <c r="AE23" i="26" s="1"/>
  <c r="F54" i="26"/>
  <c r="AE54" i="26" s="1"/>
  <c r="F83" i="26"/>
  <c r="AE83" i="26" s="1"/>
  <c r="F36" i="26"/>
  <c r="AE36" i="26" s="1"/>
  <c r="F71" i="26"/>
  <c r="AE71" i="26" s="1"/>
  <c r="F15" i="26"/>
  <c r="AE15" i="26" s="1"/>
  <c r="F48" i="26"/>
  <c r="AE48" i="26" s="1"/>
  <c r="F82" i="26"/>
  <c r="AE82" i="26" s="1"/>
  <c r="F34" i="26"/>
  <c r="AE34" i="26" s="1"/>
  <c r="F65" i="26"/>
  <c r="AE65" i="26" s="1"/>
  <c r="F17" i="26"/>
  <c r="AE17" i="26" s="1"/>
  <c r="F46" i="26"/>
  <c r="AE46" i="26" s="1"/>
  <c r="F77" i="26"/>
  <c r="AE77" i="26" s="1"/>
  <c r="F40" i="26"/>
  <c r="AE40" i="26" s="1"/>
  <c r="F74" i="26"/>
  <c r="AE74" i="26" s="1"/>
  <c r="F37" i="26"/>
  <c r="AE37" i="26" s="1"/>
  <c r="F72" i="26"/>
  <c r="AE72" i="26" s="1"/>
  <c r="F19" i="26"/>
  <c r="AE19" i="26" s="1"/>
  <c r="F53" i="26"/>
  <c r="AE53" i="26" s="1"/>
  <c r="F4" i="26"/>
  <c r="AE4" i="26" s="1"/>
  <c r="F50" i="26"/>
  <c r="AE50" i="26" s="1"/>
  <c r="F18" i="26"/>
  <c r="AE18" i="26" s="1"/>
  <c r="F51" i="26"/>
  <c r="AE51" i="26" s="1"/>
  <c r="F84" i="26"/>
  <c r="AE84" i="26" s="1"/>
  <c r="F29" i="26"/>
  <c r="AE29" i="26" s="1"/>
  <c r="F62" i="26"/>
  <c r="AE62" i="26" s="1"/>
  <c r="F11" i="26"/>
  <c r="AE11" i="26" s="1"/>
  <c r="F45" i="26"/>
  <c r="AE45" i="26" s="1"/>
  <c r="F76" i="26"/>
  <c r="AE76" i="26" s="1"/>
  <c r="F27" i="26"/>
  <c r="AE27" i="26" s="1"/>
  <c r="F58" i="26"/>
  <c r="AE58" i="26" s="1"/>
  <c r="F8" i="26"/>
  <c r="AE8" i="26" s="1"/>
  <c r="F81" i="26"/>
  <c r="AE81" i="26" s="1"/>
  <c r="B65" i="41" l="1"/>
  <c r="B157" i="41"/>
  <c r="B192" i="41"/>
  <c r="B66" i="41" s="1"/>
  <c r="B162" i="41"/>
  <c r="B65" i="42"/>
  <c r="B162" i="42"/>
  <c r="B157" i="42"/>
  <c r="B192" i="42"/>
  <c r="B66" i="42" s="1"/>
  <c r="B188" i="18"/>
  <c r="B28" i="18" s="1"/>
  <c r="D151" i="18"/>
  <c r="D61" i="18" s="1"/>
  <c r="E148" i="18"/>
  <c r="E56" i="18" s="1"/>
  <c r="G148" i="18"/>
  <c r="G56" i="18" s="1"/>
  <c r="I151" i="18"/>
  <c r="I61" i="18" s="1"/>
  <c r="C151" i="18"/>
  <c r="C61" i="18" s="1"/>
  <c r="B151" i="18"/>
  <c r="B61" i="18" s="1"/>
  <c r="B152" i="18"/>
  <c r="C145" i="18"/>
  <c r="F151" i="18"/>
  <c r="F61" i="18" s="1"/>
  <c r="B153" i="18"/>
  <c r="E151" i="18"/>
  <c r="E61" i="18" s="1"/>
  <c r="C148" i="18"/>
  <c r="C56" i="18" s="1"/>
  <c r="B150" i="18"/>
  <c r="F148" i="18"/>
  <c r="F56" i="18" s="1"/>
  <c r="G151" i="18"/>
  <c r="G61" i="18" s="1"/>
  <c r="D148" i="18"/>
  <c r="D56" i="18" s="1"/>
  <c r="B148" i="18"/>
  <c r="B56" i="18" s="1"/>
  <c r="B149" i="18"/>
  <c r="AD53" i="32"/>
  <c r="AD75" i="32"/>
  <c r="AD68" i="32"/>
  <c r="AD26" i="32"/>
  <c r="E113" i="33"/>
  <c r="D47" i="34"/>
  <c r="D48" i="34" s="1"/>
  <c r="E113" i="41"/>
  <c r="D47" i="39"/>
  <c r="D48" i="39" s="1"/>
  <c r="E113" i="42"/>
  <c r="D47" i="40"/>
  <c r="D48" i="40" s="1"/>
  <c r="AD77" i="32"/>
  <c r="AD34" i="32"/>
  <c r="AD8" i="32"/>
  <c r="AD60" i="32"/>
  <c r="AD21" i="32"/>
  <c r="AD65" i="32"/>
  <c r="AD36" i="32"/>
  <c r="AD6" i="32"/>
  <c r="AD17" i="32"/>
  <c r="AD59" i="32"/>
  <c r="AD14" i="32"/>
  <c r="AD10" i="32"/>
  <c r="AD78" i="32"/>
  <c r="AD56" i="32"/>
  <c r="AD45" i="32"/>
  <c r="AD69" i="32"/>
  <c r="AD67" i="32"/>
  <c r="AD11" i="32"/>
  <c r="AD30" i="32"/>
  <c r="AD50" i="32"/>
  <c r="AD37" i="32"/>
  <c r="AD9" i="32"/>
  <c r="AD43" i="32"/>
  <c r="AD27" i="32"/>
  <c r="AD51" i="32"/>
  <c r="AD79" i="32"/>
  <c r="AD13" i="32"/>
  <c r="AD64" i="32"/>
  <c r="AD83" i="32"/>
  <c r="AD39" i="32"/>
  <c r="AD73" i="32"/>
  <c r="AD42" i="32"/>
  <c r="AD48" i="32"/>
  <c r="AD35" i="32"/>
  <c r="AD31" i="32"/>
  <c r="AD22" i="32"/>
  <c r="AD41" i="32"/>
  <c r="AD12" i="32"/>
  <c r="AD32" i="32"/>
  <c r="AD55" i="32"/>
  <c r="AD61" i="32"/>
  <c r="AD74" i="32"/>
  <c r="AD19" i="32"/>
  <c r="AD24" i="32"/>
  <c r="AD40" i="32"/>
  <c r="AD38" i="32"/>
  <c r="AD66" i="32"/>
  <c r="AD47" i="32"/>
  <c r="AD15" i="32"/>
  <c r="AD72" i="32"/>
  <c r="AD29" i="32"/>
  <c r="AD16" i="32"/>
  <c r="AD82" i="32"/>
  <c r="AD80" i="32"/>
  <c r="AD62" i="32"/>
  <c r="AD76" i="32"/>
  <c r="AD71" i="32"/>
  <c r="AD70" i="32"/>
  <c r="AD28" i="32"/>
  <c r="AD18" i="32"/>
  <c r="AD54" i="32"/>
  <c r="AD58" i="32"/>
  <c r="AD33" i="32"/>
  <c r="AD5" i="32"/>
  <c r="AD20" i="32"/>
  <c r="AD49" i="32"/>
  <c r="AD7" i="32"/>
  <c r="AD4" i="32"/>
  <c r="AD46" i="32"/>
  <c r="AD81" i="32"/>
  <c r="AD23" i="32"/>
  <c r="AD52" i="32"/>
  <c r="AD84" i="32"/>
  <c r="AD57" i="32"/>
  <c r="AD25" i="32"/>
  <c r="AD29" i="31"/>
  <c r="AD37" i="31"/>
  <c r="AD76" i="31"/>
  <c r="AD26" i="31"/>
  <c r="AD21" i="31"/>
  <c r="AD67" i="31"/>
  <c r="AD61" i="31"/>
  <c r="AD10" i="31"/>
  <c r="AD12" i="31"/>
  <c r="Y58" i="31"/>
  <c r="Z58" i="31" s="1"/>
  <c r="Y64" i="31"/>
  <c r="Z64" i="31" s="1"/>
  <c r="Y49" i="31"/>
  <c r="Z49" i="31" s="1"/>
  <c r="Y9" i="31"/>
  <c r="Z9" i="31" s="1"/>
  <c r="Y61" i="31"/>
  <c r="Z61" i="31" s="1"/>
  <c r="Y37" i="31"/>
  <c r="Z37" i="31" s="1"/>
  <c r="Y51" i="31"/>
  <c r="Z51" i="31" s="1"/>
  <c r="Y5" i="31"/>
  <c r="Z5" i="31" s="1"/>
  <c r="Y32" i="31"/>
  <c r="Z32" i="31" s="1"/>
  <c r="Y52" i="31"/>
  <c r="Z52" i="31" s="1"/>
  <c r="AD77" i="31"/>
  <c r="Y80" i="31"/>
  <c r="Z80" i="31" s="1"/>
  <c r="Y10" i="31"/>
  <c r="Z10" i="31" s="1"/>
  <c r="Y65" i="31"/>
  <c r="Z65" i="31" s="1"/>
  <c r="Y20" i="31"/>
  <c r="Z20" i="31" s="1"/>
  <c r="Y48" i="31"/>
  <c r="Z48" i="31" s="1"/>
  <c r="Y21" i="31"/>
  <c r="Z21" i="31" s="1"/>
  <c r="Y72" i="31"/>
  <c r="Z72" i="31" s="1"/>
  <c r="AD52" i="31"/>
  <c r="AD32" i="31"/>
  <c r="Y77" i="31"/>
  <c r="Z77" i="31" s="1"/>
  <c r="Y40" i="31"/>
  <c r="Z40" i="31" s="1"/>
  <c r="Y14" i="31"/>
  <c r="Z14" i="31" s="1"/>
  <c r="Y36" i="31"/>
  <c r="Z36" i="31" s="1"/>
  <c r="Y71" i="31"/>
  <c r="Z71" i="31" s="1"/>
  <c r="Y73" i="31"/>
  <c r="Z73" i="31" s="1"/>
  <c r="AD64" i="31"/>
  <c r="AD38" i="31"/>
  <c r="Y33" i="31"/>
  <c r="Z33" i="31" s="1"/>
  <c r="Y57" i="31"/>
  <c r="Z57" i="31" s="1"/>
  <c r="Y18" i="31"/>
  <c r="Z18" i="31" s="1"/>
  <c r="Y50" i="31"/>
  <c r="Z50" i="31" s="1"/>
  <c r="Y66" i="31"/>
  <c r="Z66" i="31" s="1"/>
  <c r="Y15" i="31"/>
  <c r="Z15" i="31" s="1"/>
  <c r="Y41" i="31"/>
  <c r="Z41" i="31" s="1"/>
  <c r="Y46" i="31"/>
  <c r="Z46" i="31" s="1"/>
  <c r="Y39" i="31"/>
  <c r="Z39" i="31" s="1"/>
  <c r="Y79" i="31"/>
  <c r="Z79" i="31" s="1"/>
  <c r="Y69" i="31"/>
  <c r="Z69" i="31" s="1"/>
  <c r="Y8" i="31"/>
  <c r="Z8" i="31" s="1"/>
  <c r="Y67" i="31"/>
  <c r="Z67" i="31" s="1"/>
  <c r="Y59" i="31"/>
  <c r="Z59" i="31" s="1"/>
  <c r="Y75" i="31"/>
  <c r="Z75" i="31" s="1"/>
  <c r="Y28" i="31"/>
  <c r="Z28" i="31" s="1"/>
  <c r="AD8" i="31"/>
  <c r="AD39" i="31"/>
  <c r="Y81" i="31"/>
  <c r="Z81" i="31" s="1"/>
  <c r="Y84" i="31"/>
  <c r="Z84" i="31" s="1"/>
  <c r="Y63" i="31"/>
  <c r="Z63" i="31" s="1"/>
  <c r="Y6" i="31"/>
  <c r="Z6" i="31" s="1"/>
  <c r="Y19" i="31"/>
  <c r="Z19" i="31" s="1"/>
  <c r="Y78" i="31"/>
  <c r="Z78" i="31" s="1"/>
  <c r="Y17" i="31"/>
  <c r="Z17" i="31" s="1"/>
  <c r="Y34" i="31"/>
  <c r="Z34" i="31" s="1"/>
  <c r="Y7" i="31"/>
  <c r="Z7" i="31" s="1"/>
  <c r="Y11" i="31"/>
  <c r="Z11" i="31" s="1"/>
  <c r="Y12" i="31"/>
  <c r="Z12" i="31" s="1"/>
  <c r="Y42" i="31"/>
  <c r="Z42" i="31" s="1"/>
  <c r="Y53" i="31"/>
  <c r="Z53" i="31" s="1"/>
  <c r="Y62" i="31"/>
  <c r="Z62" i="31" s="1"/>
  <c r="Y22" i="31"/>
  <c r="Z22" i="31" s="1"/>
  <c r="Y31" i="31"/>
  <c r="Z31" i="31" s="1"/>
  <c r="Y54" i="31"/>
  <c r="Z54" i="31" s="1"/>
  <c r="Y45" i="31"/>
  <c r="Z45" i="31" s="1"/>
  <c r="Y47" i="31"/>
  <c r="Z47" i="31" s="1"/>
  <c r="Y68" i="31"/>
  <c r="Z68" i="31" s="1"/>
  <c r="Y4" i="31"/>
  <c r="Z4" i="31" s="1"/>
  <c r="Y38" i="31"/>
  <c r="Z38" i="31" s="1"/>
  <c r="Y26" i="31"/>
  <c r="Z26" i="31" s="1"/>
  <c r="Y55" i="31"/>
  <c r="Z55" i="31" s="1"/>
  <c r="AD72" i="31"/>
  <c r="AD73" i="31"/>
  <c r="Y35" i="31"/>
  <c r="Z35" i="31" s="1"/>
  <c r="Y76" i="31"/>
  <c r="Z76" i="31" s="1"/>
  <c r="Y82" i="31"/>
  <c r="Z82" i="31" s="1"/>
  <c r="Y30" i="31"/>
  <c r="Z30" i="31" s="1"/>
  <c r="Y23" i="31"/>
  <c r="Z23" i="31" s="1"/>
  <c r="Y60" i="31"/>
  <c r="Z60" i="31" s="1"/>
  <c r="Y24" i="31"/>
  <c r="Z24" i="31" s="1"/>
  <c r="Y70" i="31"/>
  <c r="Z70" i="31" s="1"/>
  <c r="Y13" i="31"/>
  <c r="Z13" i="31" s="1"/>
  <c r="Y74" i="31"/>
  <c r="Z74" i="31" s="1"/>
  <c r="Y83" i="31"/>
  <c r="Z83" i="31" s="1"/>
  <c r="Y16" i="31"/>
  <c r="Z16" i="31" s="1"/>
  <c r="Y43" i="31"/>
  <c r="Z43" i="31" s="1"/>
  <c r="Y29" i="31"/>
  <c r="Z29" i="31" s="1"/>
  <c r="Y56" i="31"/>
  <c r="Z56" i="31" s="1"/>
  <c r="Y25" i="31"/>
  <c r="Z25" i="31" s="1"/>
  <c r="Y27" i="31"/>
  <c r="Z27" i="31" s="1"/>
  <c r="C20" i="17"/>
  <c r="F60" i="30"/>
  <c r="AD60" i="30"/>
  <c r="G52" i="10"/>
  <c r="AE52" i="10"/>
  <c r="G43" i="10"/>
  <c r="AE43" i="10"/>
  <c r="G69" i="10"/>
  <c r="AE69" i="10"/>
  <c r="F46" i="30"/>
  <c r="AD46" i="30"/>
  <c r="G65" i="10"/>
  <c r="AE65" i="10"/>
  <c r="G80" i="10"/>
  <c r="AE80" i="10"/>
  <c r="G77" i="10"/>
  <c r="AE77" i="10"/>
  <c r="G72" i="10"/>
  <c r="AE72" i="10"/>
  <c r="G15" i="10"/>
  <c r="AE15" i="10"/>
  <c r="F68" i="30"/>
  <c r="AD68" i="30"/>
  <c r="G4" i="10"/>
  <c r="AE4" i="10"/>
  <c r="G17" i="10"/>
  <c r="AE17" i="10"/>
  <c r="F76" i="30"/>
  <c r="AD76" i="30"/>
  <c r="G24" i="10"/>
  <c r="AE24" i="10"/>
  <c r="G83" i="10"/>
  <c r="AE83" i="10"/>
  <c r="F33" i="30"/>
  <c r="AD33" i="30"/>
  <c r="F80" i="30"/>
  <c r="AD80" i="30"/>
  <c r="F77" i="30"/>
  <c r="AD77" i="30"/>
  <c r="F15" i="30"/>
  <c r="AD15" i="30"/>
  <c r="F45" i="30"/>
  <c r="AD45" i="30"/>
  <c r="G21" i="10"/>
  <c r="AE21" i="10"/>
  <c r="F38" i="30"/>
  <c r="AD38" i="30"/>
  <c r="F67" i="30"/>
  <c r="AD67" i="30"/>
  <c r="F63" i="32"/>
  <c r="AD63" i="32"/>
  <c r="F44" i="32"/>
  <c r="AD44" i="32"/>
  <c r="F82" i="30"/>
  <c r="AD82" i="30"/>
  <c r="F18" i="30"/>
  <c r="AD18" i="30"/>
  <c r="F51" i="30"/>
  <c r="AD51" i="30"/>
  <c r="F56" i="30"/>
  <c r="AD56" i="30"/>
  <c r="G59" i="10"/>
  <c r="AE59" i="10"/>
  <c r="F26" i="30"/>
  <c r="AD26" i="30"/>
  <c r="G70" i="10"/>
  <c r="AE70" i="10"/>
  <c r="G10" i="10"/>
  <c r="AE10" i="10"/>
  <c r="G62" i="10"/>
  <c r="AE62" i="10"/>
  <c r="G27" i="10"/>
  <c r="AE27" i="10"/>
  <c r="G42" i="10"/>
  <c r="AE42" i="10"/>
  <c r="F40" i="30"/>
  <c r="AD40" i="30"/>
  <c r="F81" i="30"/>
  <c r="AD81" i="30"/>
  <c r="F20" i="30"/>
  <c r="AD20" i="30"/>
  <c r="G38" i="10"/>
  <c r="AE38" i="10"/>
  <c r="F59" i="30"/>
  <c r="AD59" i="30"/>
  <c r="G73" i="10"/>
  <c r="AE73" i="10"/>
  <c r="F22" i="30"/>
  <c r="AD22" i="30"/>
  <c r="F69" i="30"/>
  <c r="AD69" i="30"/>
  <c r="G60" i="10"/>
  <c r="AE60" i="10"/>
  <c r="F49" i="30"/>
  <c r="AD49" i="30"/>
  <c r="F12" i="30"/>
  <c r="AD12" i="30"/>
  <c r="G54" i="10"/>
  <c r="AE54" i="10"/>
  <c r="F63" i="30"/>
  <c r="AD63" i="30"/>
  <c r="F44" i="31"/>
  <c r="AD44" i="31"/>
  <c r="F84" i="30"/>
  <c r="AD84" i="30"/>
  <c r="G32" i="10"/>
  <c r="AE32" i="10"/>
  <c r="F66" i="30"/>
  <c r="AD66" i="30"/>
  <c r="G14" i="10"/>
  <c r="AE14" i="10"/>
  <c r="G7" i="10"/>
  <c r="AE7" i="10"/>
  <c r="F43" i="30"/>
  <c r="AD43" i="30"/>
  <c r="F16" i="30"/>
  <c r="AD16" i="30"/>
  <c r="F27" i="30"/>
  <c r="AD27" i="30"/>
  <c r="F34" i="30"/>
  <c r="AD34" i="30"/>
  <c r="G11" i="10"/>
  <c r="AE11" i="10"/>
  <c r="F39" i="30"/>
  <c r="AD39" i="30"/>
  <c r="F74" i="30"/>
  <c r="AD74" i="30"/>
  <c r="G82" i="10"/>
  <c r="AE82" i="10"/>
  <c r="G16" i="10"/>
  <c r="AE16" i="10"/>
  <c r="F70" i="30"/>
  <c r="AD70" i="30"/>
  <c r="G34" i="10"/>
  <c r="AE34" i="10"/>
  <c r="G9" i="10"/>
  <c r="AE9" i="10"/>
  <c r="F52" i="30"/>
  <c r="AD52" i="30"/>
  <c r="F36" i="30"/>
  <c r="AD36" i="30"/>
  <c r="F30" i="30"/>
  <c r="AD30" i="30"/>
  <c r="F58" i="30"/>
  <c r="AD58" i="30"/>
  <c r="F53" i="30"/>
  <c r="AD53" i="30"/>
  <c r="G6" i="10"/>
  <c r="AE6" i="10"/>
  <c r="F47" i="30"/>
  <c r="AD47" i="30"/>
  <c r="F78" i="30"/>
  <c r="AD78" i="30"/>
  <c r="G84" i="10"/>
  <c r="AE84" i="10"/>
  <c r="G13" i="10"/>
  <c r="AE13" i="10"/>
  <c r="F14" i="30"/>
  <c r="AD14" i="30"/>
  <c r="F7" i="30"/>
  <c r="AD7" i="30"/>
  <c r="G78" i="10"/>
  <c r="AE78" i="10"/>
  <c r="F42" i="30"/>
  <c r="AD42" i="30"/>
  <c r="G76" i="10"/>
  <c r="AE76" i="10"/>
  <c r="G51" i="10"/>
  <c r="AE51" i="10"/>
  <c r="F41" i="30"/>
  <c r="AD41" i="30"/>
  <c r="F9" i="30"/>
  <c r="AD9" i="30"/>
  <c r="F29" i="30"/>
  <c r="AD29" i="30"/>
  <c r="F79" i="30"/>
  <c r="AD79" i="30"/>
  <c r="F62" i="30"/>
  <c r="AD62" i="30"/>
  <c r="G67" i="10"/>
  <c r="AE67" i="10"/>
  <c r="F75" i="30"/>
  <c r="AD75" i="30"/>
  <c r="F24" i="30"/>
  <c r="AD24" i="30"/>
  <c r="F23" i="30"/>
  <c r="AD23" i="30"/>
  <c r="G18" i="10"/>
  <c r="AE18" i="10"/>
  <c r="G20" i="10"/>
  <c r="AE20" i="10"/>
  <c r="F11" i="30"/>
  <c r="AD11" i="30"/>
  <c r="G61" i="10"/>
  <c r="AE61" i="10"/>
  <c r="G56" i="10"/>
  <c r="AE56" i="10"/>
  <c r="G26" i="10"/>
  <c r="AE26" i="10"/>
  <c r="G22" i="10"/>
  <c r="AE22" i="10"/>
  <c r="F5" i="30"/>
  <c r="AD5" i="30"/>
  <c r="G45" i="10"/>
  <c r="AE45" i="10"/>
  <c r="F55" i="30"/>
  <c r="AD55" i="30"/>
  <c r="G55" i="10"/>
  <c r="AE55" i="10"/>
  <c r="F17" i="30"/>
  <c r="AD17" i="30"/>
  <c r="F31" i="30"/>
  <c r="AD31" i="30"/>
  <c r="G71" i="10"/>
  <c r="AE71" i="10"/>
  <c r="G48" i="10"/>
  <c r="AE48" i="10"/>
  <c r="F37" i="30"/>
  <c r="AD37" i="30"/>
  <c r="G49" i="10"/>
  <c r="AE49" i="10"/>
  <c r="G41" i="10"/>
  <c r="AE41" i="10"/>
  <c r="G31" i="10"/>
  <c r="AE31" i="10"/>
  <c r="F8" i="30"/>
  <c r="AD8" i="30"/>
  <c r="F73" i="30"/>
  <c r="AD73" i="30"/>
  <c r="G57" i="10"/>
  <c r="AE57" i="10"/>
  <c r="F13" i="30"/>
  <c r="AD13" i="30"/>
  <c r="G66" i="10"/>
  <c r="AE66" i="10"/>
  <c r="G74" i="10"/>
  <c r="AE74" i="10"/>
  <c r="G64" i="10"/>
  <c r="AE64" i="10"/>
  <c r="F25" i="30"/>
  <c r="AD25" i="30"/>
  <c r="G39" i="10"/>
  <c r="AE39" i="10"/>
  <c r="G58" i="10"/>
  <c r="AE58" i="10"/>
  <c r="G12" i="10"/>
  <c r="AE12" i="10"/>
  <c r="G79" i="10"/>
  <c r="AE79" i="10"/>
  <c r="G28" i="10"/>
  <c r="AE28" i="10"/>
  <c r="F61" i="30"/>
  <c r="AD61" i="30"/>
  <c r="G30" i="10"/>
  <c r="AE30" i="10"/>
  <c r="F35" i="30"/>
  <c r="AD35" i="30"/>
  <c r="G46" i="10"/>
  <c r="AE46" i="10"/>
  <c r="F10" i="30"/>
  <c r="AD10" i="30"/>
  <c r="G44" i="10"/>
  <c r="AE44" i="10"/>
  <c r="G68" i="10"/>
  <c r="AE68" i="10"/>
  <c r="G81" i="10"/>
  <c r="AE81" i="10"/>
  <c r="F28" i="30"/>
  <c r="AD28" i="30"/>
  <c r="F64" i="30"/>
  <c r="AD64" i="30"/>
  <c r="G5" i="10"/>
  <c r="AE5" i="10"/>
  <c r="G75" i="10"/>
  <c r="AE75" i="10"/>
  <c r="G33" i="10"/>
  <c r="AE33" i="10"/>
  <c r="F83" i="30"/>
  <c r="AD83" i="30"/>
  <c r="G8" i="10"/>
  <c r="AE8" i="10"/>
  <c r="G53" i="10"/>
  <c r="AE53" i="10"/>
  <c r="G19" i="10"/>
  <c r="AE19" i="10"/>
  <c r="G40" i="10"/>
  <c r="AE40" i="10"/>
  <c r="F4" i="30"/>
  <c r="AD4" i="30"/>
  <c r="G37" i="10"/>
  <c r="AE37" i="10"/>
  <c r="G50" i="10"/>
  <c r="AE50" i="10"/>
  <c r="G29" i="10"/>
  <c r="AE29" i="10"/>
  <c r="G25" i="10"/>
  <c r="AE25" i="10"/>
  <c r="F48" i="30"/>
  <c r="AD48" i="30"/>
  <c r="G47" i="10"/>
  <c r="AE47" i="10"/>
  <c r="G23" i="10"/>
  <c r="AE23" i="10"/>
  <c r="G36" i="10"/>
  <c r="AE36" i="10"/>
  <c r="F65" i="30"/>
  <c r="AD65" i="30"/>
  <c r="F32" i="30"/>
  <c r="AD32" i="30"/>
  <c r="F21" i="30"/>
  <c r="AD21" i="30"/>
  <c r="F6" i="30"/>
  <c r="AD6" i="30"/>
  <c r="F19" i="30"/>
  <c r="AD19" i="30"/>
  <c r="F57" i="30"/>
  <c r="AD57" i="30"/>
  <c r="G35" i="10"/>
  <c r="AE35" i="10"/>
  <c r="G63" i="10"/>
  <c r="AE63" i="10"/>
  <c r="F50" i="30"/>
  <c r="AD50" i="30"/>
  <c r="F54" i="30"/>
  <c r="AD54" i="30"/>
  <c r="F71" i="30"/>
  <c r="AD71" i="30"/>
  <c r="F72" i="30"/>
  <c r="AD72" i="30"/>
  <c r="F44" i="30"/>
  <c r="AD44" i="30"/>
  <c r="B166" i="42"/>
  <c r="B104" i="42" s="1"/>
  <c r="B161" i="42"/>
  <c r="B96" i="42" s="1"/>
  <c r="B91" i="42"/>
  <c r="I162" i="42"/>
  <c r="I99" i="42" s="1"/>
  <c r="B165" i="42"/>
  <c r="B103" i="42" s="1"/>
  <c r="B160" i="42"/>
  <c r="B95" i="42" s="1"/>
  <c r="B164" i="42"/>
  <c r="B102" i="42" s="1"/>
  <c r="B159" i="42"/>
  <c r="B94" i="42" s="1"/>
  <c r="B163" i="42"/>
  <c r="B101" i="42" s="1"/>
  <c r="B99" i="42"/>
  <c r="B158" i="42"/>
  <c r="B93" i="42" s="1"/>
  <c r="B159" i="18"/>
  <c r="I162" i="18"/>
  <c r="B164" i="18"/>
  <c r="B165" i="41"/>
  <c r="B103" i="41" s="1"/>
  <c r="B160" i="41"/>
  <c r="B95" i="41" s="1"/>
  <c r="B164" i="41"/>
  <c r="B102" i="41" s="1"/>
  <c r="B159" i="41"/>
  <c r="B94" i="41" s="1"/>
  <c r="B163" i="41"/>
  <c r="B101" i="41" s="1"/>
  <c r="B158" i="41"/>
  <c r="B93" i="41" s="1"/>
  <c r="I162" i="41"/>
  <c r="I99" i="41" s="1"/>
  <c r="B166" i="41"/>
  <c r="B104" i="41" s="1"/>
  <c r="B91" i="41"/>
  <c r="B99" i="41"/>
  <c r="B161" i="41"/>
  <c r="B96" i="41" s="1"/>
  <c r="E157" i="42"/>
  <c r="E92" i="42" s="1"/>
  <c r="F162" i="41"/>
  <c r="F100" i="41" s="1"/>
  <c r="G157" i="41"/>
  <c r="G92" i="41" s="1"/>
  <c r="C157" i="41"/>
  <c r="C92" i="41" s="1"/>
  <c r="C162" i="41"/>
  <c r="C100" i="41" s="1"/>
  <c r="D157" i="41"/>
  <c r="D92" i="41" s="1"/>
  <c r="E162" i="41"/>
  <c r="E100" i="41" s="1"/>
  <c r="F157" i="41"/>
  <c r="F92" i="41" s="1"/>
  <c r="D162" i="41"/>
  <c r="D100" i="41" s="1"/>
  <c r="E157" i="41"/>
  <c r="E92" i="41" s="1"/>
  <c r="G162" i="41"/>
  <c r="G100" i="41" s="1"/>
  <c r="Z4" i="37"/>
  <c r="D157" i="42"/>
  <c r="D92" i="42" s="1"/>
  <c r="E162" i="42"/>
  <c r="E100" i="42" s="1"/>
  <c r="D162" i="42"/>
  <c r="D100" i="42" s="1"/>
  <c r="G157" i="42"/>
  <c r="G92" i="42" s="1"/>
  <c r="F157" i="42"/>
  <c r="F92" i="42" s="1"/>
  <c r="C162" i="42"/>
  <c r="C100" i="42" s="1"/>
  <c r="F162" i="42"/>
  <c r="F100" i="42" s="1"/>
  <c r="G162" i="42"/>
  <c r="G100" i="42" s="1"/>
  <c r="C157" i="42"/>
  <c r="C92" i="42" s="1"/>
  <c r="X47" i="32"/>
  <c r="Y47" i="32" s="1"/>
  <c r="Z47" i="32" s="1"/>
  <c r="X66" i="32"/>
  <c r="Y66" i="32" s="1"/>
  <c r="Z66" i="32" s="1"/>
  <c r="X42" i="32"/>
  <c r="Y42" i="32" s="1"/>
  <c r="Z42" i="32" s="1"/>
  <c r="X33" i="32"/>
  <c r="Y33" i="32" s="1"/>
  <c r="Z33" i="32" s="1"/>
  <c r="X63" i="32"/>
  <c r="Y63" i="32" s="1"/>
  <c r="Z63" i="32" s="1"/>
  <c r="C37" i="39"/>
  <c r="F10" i="32"/>
  <c r="C36" i="40"/>
  <c r="C37" i="40" s="1"/>
  <c r="C36" i="34"/>
  <c r="C37" i="34" s="1"/>
  <c r="F59" i="32"/>
  <c r="F13" i="32"/>
  <c r="F35" i="32"/>
  <c r="F41" i="32"/>
  <c r="F54" i="32"/>
  <c r="F49" i="32"/>
  <c r="F21" i="32"/>
  <c r="F29" i="32"/>
  <c r="F82" i="32"/>
  <c r="F25" i="32"/>
  <c r="F18" i="32"/>
  <c r="F52" i="32"/>
  <c r="F64" i="32"/>
  <c r="F30" i="32"/>
  <c r="F79" i="32"/>
  <c r="F32" i="32"/>
  <c r="F43" i="32"/>
  <c r="F51" i="32"/>
  <c r="F26" i="32"/>
  <c r="F4" i="32"/>
  <c r="F42" i="32"/>
  <c r="F20" i="32"/>
  <c r="F57" i="31"/>
  <c r="F34" i="32"/>
  <c r="F36" i="32"/>
  <c r="F50" i="32"/>
  <c r="F53" i="32"/>
  <c r="F48" i="32"/>
  <c r="F74" i="32"/>
  <c r="F59" i="31"/>
  <c r="F37" i="32"/>
  <c r="F73" i="32"/>
  <c r="F60" i="32"/>
  <c r="F31" i="32"/>
  <c r="F27" i="32"/>
  <c r="F71" i="32"/>
  <c r="F77" i="32"/>
  <c r="F58" i="32"/>
  <c r="F81" i="32"/>
  <c r="F11" i="32"/>
  <c r="F70" i="32"/>
  <c r="F66" i="32"/>
  <c r="F47" i="32"/>
  <c r="F33" i="32"/>
  <c r="F78" i="32"/>
  <c r="F65" i="32"/>
  <c r="F15" i="32"/>
  <c r="F45" i="32"/>
  <c r="F80" i="32"/>
  <c r="F76" i="32"/>
  <c r="F61" i="32"/>
  <c r="F84" i="32"/>
  <c r="F17" i="32"/>
  <c r="F22" i="32"/>
  <c r="F72" i="32"/>
  <c r="F6" i="32"/>
  <c r="F19" i="32"/>
  <c r="F24" i="32"/>
  <c r="F56" i="32"/>
  <c r="F12" i="32"/>
  <c r="F55" i="32"/>
  <c r="F8" i="32"/>
  <c r="F62" i="32"/>
  <c r="F75" i="32"/>
  <c r="F38" i="32"/>
  <c r="F9" i="32"/>
  <c r="F28" i="32"/>
  <c r="F68" i="32"/>
  <c r="F7" i="32"/>
  <c r="F23" i="32"/>
  <c r="F40" i="32"/>
  <c r="F16" i="32"/>
  <c r="F67" i="32"/>
  <c r="F5" i="32"/>
  <c r="F14" i="32"/>
  <c r="F39" i="32"/>
  <c r="F46" i="32"/>
  <c r="F83" i="32"/>
  <c r="F57" i="32"/>
  <c r="F31" i="31"/>
  <c r="F14" i="31"/>
  <c r="F35" i="31"/>
  <c r="F29" i="31"/>
  <c r="F7" i="31"/>
  <c r="F67" i="31"/>
  <c r="F58" i="31"/>
  <c r="F69" i="32"/>
  <c r="F6" i="31"/>
  <c r="F28" i="31"/>
  <c r="X58" i="32"/>
  <c r="Y58" i="32" s="1"/>
  <c r="Z58" i="32" s="1"/>
  <c r="F56" i="31"/>
  <c r="X55" i="32"/>
  <c r="Y55" i="32" s="1"/>
  <c r="Z55" i="32" s="1"/>
  <c r="F17" i="31"/>
  <c r="F23" i="31"/>
  <c r="F82" i="31"/>
  <c r="F76" i="31"/>
  <c r="X9" i="32"/>
  <c r="Y9" i="32" s="1"/>
  <c r="Z9" i="32" s="1"/>
  <c r="F32" i="31"/>
  <c r="F62" i="31"/>
  <c r="F55" i="31"/>
  <c r="F10" i="31"/>
  <c r="F13" i="31"/>
  <c r="F43" i="31"/>
  <c r="F24" i="31"/>
  <c r="F25" i="31"/>
  <c r="F78" i="31"/>
  <c r="F72" i="31"/>
  <c r="F16" i="31"/>
  <c r="F22" i="31"/>
  <c r="F73" i="31"/>
  <c r="X25" i="32"/>
  <c r="Y25" i="32" s="1"/>
  <c r="Z25" i="32" s="1"/>
  <c r="X67" i="32"/>
  <c r="Y67" i="32" s="1"/>
  <c r="Z67" i="32" s="1"/>
  <c r="F20" i="31"/>
  <c r="F41" i="31"/>
  <c r="F60" i="31"/>
  <c r="F54" i="31"/>
  <c r="X36" i="32"/>
  <c r="Y36" i="32" s="1"/>
  <c r="Z36" i="32" s="1"/>
  <c r="F48" i="31"/>
  <c r="F52" i="31"/>
  <c r="F36" i="31"/>
  <c r="F12" i="31"/>
  <c r="F47" i="31"/>
  <c r="F81" i="31"/>
  <c r="F18" i="31"/>
  <c r="F68" i="31"/>
  <c r="F75" i="31"/>
  <c r="X48" i="32"/>
  <c r="Y48" i="32" s="1"/>
  <c r="Z48" i="32" s="1"/>
  <c r="X51" i="32"/>
  <c r="Y51" i="32" s="1"/>
  <c r="Z51" i="32" s="1"/>
  <c r="X32" i="32"/>
  <c r="Y32" i="32" s="1"/>
  <c r="Z32" i="32" s="1"/>
  <c r="X19" i="32"/>
  <c r="Y19" i="32" s="1"/>
  <c r="Z19" i="32" s="1"/>
  <c r="X78" i="32"/>
  <c r="Y78" i="32" s="1"/>
  <c r="Z78" i="32" s="1"/>
  <c r="F5" i="31"/>
  <c r="F61" i="31"/>
  <c r="X72" i="32"/>
  <c r="Y72" i="32" s="1"/>
  <c r="Z72" i="32" s="1"/>
  <c r="F26" i="31"/>
  <c r="X11" i="32"/>
  <c r="Y11" i="32" s="1"/>
  <c r="Z11" i="32" s="1"/>
  <c r="F50" i="31"/>
  <c r="F69" i="31"/>
  <c r="F70" i="31"/>
  <c r="F34" i="31"/>
  <c r="F79" i="31"/>
  <c r="F8" i="31"/>
  <c r="F30" i="31"/>
  <c r="F64" i="31"/>
  <c r="F74" i="31"/>
  <c r="F27" i="31"/>
  <c r="F38" i="31"/>
  <c r="F46" i="31"/>
  <c r="F42" i="31"/>
  <c r="F39" i="31"/>
  <c r="F83" i="31"/>
  <c r="F84" i="31"/>
  <c r="F19" i="31"/>
  <c r="F66" i="31"/>
  <c r="F45" i="31"/>
  <c r="F9" i="31"/>
  <c r="F71" i="31"/>
  <c r="F4" i="31"/>
  <c r="F11" i="31"/>
  <c r="F80" i="31"/>
  <c r="F21" i="31"/>
  <c r="F33" i="31"/>
  <c r="F77" i="31"/>
  <c r="F40" i="31"/>
  <c r="F37" i="31"/>
  <c r="X13" i="32"/>
  <c r="Y13" i="32" s="1"/>
  <c r="Z13" i="32" s="1"/>
  <c r="X68" i="32"/>
  <c r="Y68" i="32" s="1"/>
  <c r="Z68" i="32" s="1"/>
  <c r="X40" i="32"/>
  <c r="Y40" i="32" s="1"/>
  <c r="Z40" i="32" s="1"/>
  <c r="X26" i="32"/>
  <c r="Y26" i="32" s="1"/>
  <c r="Z26" i="32" s="1"/>
  <c r="X81" i="32"/>
  <c r="Y81" i="32" s="1"/>
  <c r="Z81" i="32" s="1"/>
  <c r="X12" i="32"/>
  <c r="Y12" i="32" s="1"/>
  <c r="Z12" i="32" s="1"/>
  <c r="X70" i="32"/>
  <c r="Y70" i="32" s="1"/>
  <c r="Z70" i="32" s="1"/>
  <c r="X43" i="32"/>
  <c r="Y43" i="32" s="1"/>
  <c r="Z43" i="32" s="1"/>
  <c r="X59" i="32"/>
  <c r="Y59" i="32" s="1"/>
  <c r="Z59" i="32" s="1"/>
  <c r="X84" i="32"/>
  <c r="Y84" i="32" s="1"/>
  <c r="Z84" i="32" s="1"/>
  <c r="X73" i="32"/>
  <c r="Y73" i="32" s="1"/>
  <c r="Z73" i="32" s="1"/>
  <c r="X29" i="32"/>
  <c r="Y29" i="32" s="1"/>
  <c r="Z29" i="32" s="1"/>
  <c r="X80" i="32"/>
  <c r="Y80" i="32" s="1"/>
  <c r="Z80" i="32" s="1"/>
  <c r="X14" i="32"/>
  <c r="Y14" i="32" s="1"/>
  <c r="Z14" i="32" s="1"/>
  <c r="X69" i="32"/>
  <c r="Y69" i="32" s="1"/>
  <c r="Z69" i="32" s="1"/>
  <c r="X41" i="32"/>
  <c r="Y41" i="32" s="1"/>
  <c r="Z41" i="32" s="1"/>
  <c r="X5" i="32"/>
  <c r="Y5" i="32" s="1"/>
  <c r="Z5" i="32" s="1"/>
  <c r="X22" i="32"/>
  <c r="Y22" i="32" s="1"/>
  <c r="Z22" i="32" s="1"/>
  <c r="X28" i="32"/>
  <c r="Y28" i="32" s="1"/>
  <c r="Z28" i="32" s="1"/>
  <c r="X17" i="32"/>
  <c r="Y17" i="32" s="1"/>
  <c r="Z17" i="32" s="1"/>
  <c r="X64" i="32"/>
  <c r="Y64" i="32" s="1"/>
  <c r="Z64" i="32" s="1"/>
  <c r="X50" i="32"/>
  <c r="Y50" i="32" s="1"/>
  <c r="Z50" i="32" s="1"/>
  <c r="X24" i="32"/>
  <c r="Y24" i="32" s="1"/>
  <c r="Z24" i="32" s="1"/>
  <c r="X54" i="32"/>
  <c r="Y54" i="32" s="1"/>
  <c r="Z54" i="32" s="1"/>
  <c r="X10" i="32"/>
  <c r="Y10" i="32" s="1"/>
  <c r="Z10" i="32" s="1"/>
  <c r="X49" i="32"/>
  <c r="Y49" i="32" s="1"/>
  <c r="Z49" i="32" s="1"/>
  <c r="X23" i="32"/>
  <c r="Y23" i="32" s="1"/>
  <c r="Z23" i="32" s="1"/>
  <c r="X53" i="32"/>
  <c r="Y53" i="32" s="1"/>
  <c r="Z53" i="32" s="1"/>
  <c r="X83" i="32"/>
  <c r="Y83" i="32" s="1"/>
  <c r="Z83" i="32" s="1"/>
  <c r="X61" i="32"/>
  <c r="Y61" i="32" s="1"/>
  <c r="Z61" i="32" s="1"/>
  <c r="X75" i="32"/>
  <c r="Y75" i="32" s="1"/>
  <c r="Z75" i="32" s="1"/>
  <c r="X76" i="32"/>
  <c r="Y76" i="32" s="1"/>
  <c r="Z76" i="32" s="1"/>
  <c r="X77" i="32"/>
  <c r="Y77" i="32" s="1"/>
  <c r="Z77" i="32" s="1"/>
  <c r="X20" i="32"/>
  <c r="Y20" i="32" s="1"/>
  <c r="Z20" i="32" s="1"/>
  <c r="X35" i="32"/>
  <c r="Y35" i="32" s="1"/>
  <c r="Z35" i="32" s="1"/>
  <c r="X56" i="32"/>
  <c r="Y56" i="32" s="1"/>
  <c r="Z56" i="32" s="1"/>
  <c r="X18" i="32"/>
  <c r="Y18" i="32" s="1"/>
  <c r="Z18" i="32" s="1"/>
  <c r="X82" i="32"/>
  <c r="Y82" i="32" s="1"/>
  <c r="Z82" i="32" s="1"/>
  <c r="X6" i="32"/>
  <c r="Y6" i="32" s="1"/>
  <c r="Z6" i="32" s="1"/>
  <c r="X79" i="32"/>
  <c r="Y79" i="32" s="1"/>
  <c r="Z79" i="32" s="1"/>
  <c r="X62" i="32"/>
  <c r="Y62" i="32" s="1"/>
  <c r="Z62" i="32" s="1"/>
  <c r="X74" i="32"/>
  <c r="Y74" i="32" s="1"/>
  <c r="Z74" i="32" s="1"/>
  <c r="X4" i="32"/>
  <c r="Y4" i="32" s="1"/>
  <c r="Z4" i="32" s="1"/>
  <c r="X31" i="32"/>
  <c r="Y31" i="32" s="1"/>
  <c r="Z31" i="32" s="1"/>
  <c r="X8" i="32"/>
  <c r="Y8" i="32" s="1"/>
  <c r="Z8" i="32" s="1"/>
  <c r="X71" i="32"/>
  <c r="Y71" i="32" s="1"/>
  <c r="Z71" i="32" s="1"/>
  <c r="X30" i="32"/>
  <c r="Y30" i="32" s="1"/>
  <c r="Z30" i="32" s="1"/>
  <c r="X15" i="32"/>
  <c r="Y15" i="32" s="1"/>
  <c r="Z15" i="32" s="1"/>
  <c r="X27" i="32"/>
  <c r="Y27" i="32" s="1"/>
  <c r="Z27" i="32" s="1"/>
  <c r="X34" i="32"/>
  <c r="Y34" i="32" s="1"/>
  <c r="Z34" i="32" s="1"/>
  <c r="X7" i="32"/>
  <c r="Y7" i="32" s="1"/>
  <c r="Z7" i="32" s="1"/>
  <c r="X60" i="32"/>
  <c r="Y60" i="32" s="1"/>
  <c r="Z60" i="32" s="1"/>
  <c r="X65" i="32"/>
  <c r="Y65" i="32" s="1"/>
  <c r="Z65" i="32" s="1"/>
  <c r="X21" i="32"/>
  <c r="Y21" i="32" s="1"/>
  <c r="Z21" i="32" s="1"/>
  <c r="X37" i="32"/>
  <c r="Y37" i="32" s="1"/>
  <c r="Z37" i="32" s="1"/>
  <c r="X16" i="32"/>
  <c r="Y16" i="32" s="1"/>
  <c r="Z16" i="32" s="1"/>
  <c r="X57" i="32"/>
  <c r="Y57" i="32" s="1"/>
  <c r="Z57" i="32" s="1"/>
  <c r="F49" i="31"/>
  <c r="F15" i="31"/>
  <c r="F51" i="31"/>
  <c r="F53" i="31"/>
  <c r="F65" i="31"/>
  <c r="F63" i="31"/>
  <c r="F82" i="36"/>
  <c r="AE82" i="36" s="1"/>
  <c r="F40" i="36"/>
  <c r="AE40" i="36" s="1"/>
  <c r="F23" i="37"/>
  <c r="AE23" i="37" s="1"/>
  <c r="F77" i="37"/>
  <c r="AE77" i="37" s="1"/>
  <c r="F70" i="37"/>
  <c r="AE70" i="37" s="1"/>
  <c r="F69" i="37"/>
  <c r="AE69" i="37" s="1"/>
  <c r="F62" i="37"/>
  <c r="AE62" i="37" s="1"/>
  <c r="F75" i="37"/>
  <c r="AE75" i="37" s="1"/>
  <c r="F64" i="37"/>
  <c r="AE64" i="37" s="1"/>
  <c r="F43" i="37"/>
  <c r="AE43" i="37" s="1"/>
  <c r="F11" i="37"/>
  <c r="AE11" i="37" s="1"/>
  <c r="F38" i="38"/>
  <c r="AE38" i="38" s="1"/>
  <c r="F55" i="38"/>
  <c r="AE55" i="38" s="1"/>
  <c r="F34" i="38"/>
  <c r="AE34" i="38" s="1"/>
  <c r="F7" i="38"/>
  <c r="AE7" i="38" s="1"/>
  <c r="F66" i="38"/>
  <c r="AE66" i="38" s="1"/>
  <c r="F60" i="38"/>
  <c r="AE60" i="38" s="1"/>
  <c r="F16" i="38"/>
  <c r="AE16" i="38" s="1"/>
  <c r="F45" i="38"/>
  <c r="AE45" i="38" s="1"/>
  <c r="F72" i="38"/>
  <c r="AE72" i="38" s="1"/>
  <c r="F78" i="38"/>
  <c r="AE78" i="38" s="1"/>
  <c r="F52" i="38"/>
  <c r="AE52" i="38" s="1"/>
  <c r="F77" i="38"/>
  <c r="AE77" i="38" s="1"/>
  <c r="F71" i="38"/>
  <c r="AE71" i="38" s="1"/>
  <c r="F58" i="38"/>
  <c r="AE58" i="38" s="1"/>
  <c r="F25" i="38"/>
  <c r="AE25" i="38" s="1"/>
  <c r="F8" i="38"/>
  <c r="AE8" i="38" s="1"/>
  <c r="F73" i="38"/>
  <c r="AE73" i="38" s="1"/>
  <c r="F36" i="38"/>
  <c r="AE36" i="38" s="1"/>
  <c r="F31" i="38"/>
  <c r="AE31" i="38" s="1"/>
  <c r="F30" i="38"/>
  <c r="AE30" i="38" s="1"/>
  <c r="F69" i="38"/>
  <c r="AE69" i="38" s="1"/>
  <c r="F21" i="37"/>
  <c r="AE21" i="37" s="1"/>
  <c r="F73" i="37"/>
  <c r="AE73" i="37" s="1"/>
  <c r="F17" i="37"/>
  <c r="AE17" i="37" s="1"/>
  <c r="F27" i="37"/>
  <c r="AE27" i="37" s="1"/>
  <c r="F7" i="37"/>
  <c r="AE7" i="37" s="1"/>
  <c r="F20" i="37"/>
  <c r="AE20" i="37" s="1"/>
  <c r="F26" i="37"/>
  <c r="AE26" i="37" s="1"/>
  <c r="F33" i="37"/>
  <c r="AE33" i="37" s="1"/>
  <c r="F19" i="37"/>
  <c r="AE19" i="37" s="1"/>
  <c r="F50" i="37"/>
  <c r="AE50" i="37" s="1"/>
  <c r="F18" i="38"/>
  <c r="AE18" i="38" s="1"/>
  <c r="F81" i="38"/>
  <c r="AE81" i="38" s="1"/>
  <c r="F80" i="38"/>
  <c r="AE80" i="38" s="1"/>
  <c r="F26" i="38"/>
  <c r="AE26" i="38" s="1"/>
  <c r="F20" i="38"/>
  <c r="AE20" i="38" s="1"/>
  <c r="F67" i="38"/>
  <c r="AE67" i="38" s="1"/>
  <c r="F53" i="38"/>
  <c r="AE53" i="38" s="1"/>
  <c r="F84" i="38"/>
  <c r="AE84" i="38" s="1"/>
  <c r="F65" i="38"/>
  <c r="AE65" i="38" s="1"/>
  <c r="F5" i="38"/>
  <c r="AE5" i="38" s="1"/>
  <c r="F76" i="38"/>
  <c r="AE76" i="38" s="1"/>
  <c r="F29" i="38"/>
  <c r="AE29" i="38" s="1"/>
  <c r="F53" i="36"/>
  <c r="AE53" i="36" s="1"/>
  <c r="F41" i="36"/>
  <c r="AE41" i="36" s="1"/>
  <c r="F61" i="36"/>
  <c r="AE61" i="36" s="1"/>
  <c r="F51" i="36"/>
  <c r="AE51" i="36" s="1"/>
  <c r="F60" i="37"/>
  <c r="AE60" i="37" s="1"/>
  <c r="F37" i="38"/>
  <c r="AE37" i="38" s="1"/>
  <c r="F59" i="38"/>
  <c r="AE59" i="38" s="1"/>
  <c r="F82" i="38"/>
  <c r="AE82" i="38" s="1"/>
  <c r="F27" i="38"/>
  <c r="AE27" i="38" s="1"/>
  <c r="F69" i="36"/>
  <c r="AE69" i="36" s="1"/>
  <c r="F19" i="36"/>
  <c r="AE19" i="36" s="1"/>
  <c r="F12" i="36"/>
  <c r="AE12" i="36" s="1"/>
  <c r="F72" i="36"/>
  <c r="AE72" i="36" s="1"/>
  <c r="F7" i="36"/>
  <c r="AE7" i="36" s="1"/>
  <c r="F58" i="36"/>
  <c r="AE58" i="36" s="1"/>
  <c r="F31" i="36"/>
  <c r="AE31" i="36" s="1"/>
  <c r="F30" i="36"/>
  <c r="AE30" i="36" s="1"/>
  <c r="F48" i="36"/>
  <c r="AE48" i="36" s="1"/>
  <c r="F62" i="36"/>
  <c r="AE62" i="36" s="1"/>
  <c r="F55" i="37"/>
  <c r="AE55" i="37" s="1"/>
  <c r="F51" i="37"/>
  <c r="AE51" i="37" s="1"/>
  <c r="F34" i="37"/>
  <c r="AE34" i="37" s="1"/>
  <c r="F14" i="37"/>
  <c r="AE14" i="37" s="1"/>
  <c r="F30" i="37"/>
  <c r="AE30" i="37" s="1"/>
  <c r="F6" i="37"/>
  <c r="AE6" i="37" s="1"/>
  <c r="F74" i="37"/>
  <c r="AE74" i="37" s="1"/>
  <c r="F12" i="37"/>
  <c r="AE12" i="37" s="1"/>
  <c r="F61" i="37"/>
  <c r="AE61" i="37" s="1"/>
  <c r="F57" i="37"/>
  <c r="AE57" i="37" s="1"/>
  <c r="F112" i="42"/>
  <c r="E18" i="40"/>
  <c r="E19" i="40" s="1"/>
  <c r="F22" i="38"/>
  <c r="AE22" i="38" s="1"/>
  <c r="F15" i="38"/>
  <c r="AE15" i="38" s="1"/>
  <c r="F14" i="38"/>
  <c r="AE14" i="38" s="1"/>
  <c r="F51" i="38"/>
  <c r="AE51" i="38" s="1"/>
  <c r="F81" i="36"/>
  <c r="AE81" i="36" s="1"/>
  <c r="F38" i="36"/>
  <c r="AE38" i="36" s="1"/>
  <c r="F29" i="36"/>
  <c r="AE29" i="36" s="1"/>
  <c r="F15" i="36"/>
  <c r="AE15" i="36" s="1"/>
  <c r="F66" i="36"/>
  <c r="AE66" i="36" s="1"/>
  <c r="F22" i="36"/>
  <c r="AE22" i="36" s="1"/>
  <c r="F18" i="36"/>
  <c r="AE18" i="36" s="1"/>
  <c r="F84" i="36"/>
  <c r="AE84" i="36" s="1"/>
  <c r="F8" i="36"/>
  <c r="AE8" i="36" s="1"/>
  <c r="F9" i="36"/>
  <c r="AE9" i="36" s="1"/>
  <c r="F44" i="36"/>
  <c r="AE44" i="36" s="1"/>
  <c r="F73" i="36"/>
  <c r="AE73" i="36" s="1"/>
  <c r="F76" i="36"/>
  <c r="AE76" i="36" s="1"/>
  <c r="F34" i="36"/>
  <c r="AE34" i="36" s="1"/>
  <c r="F71" i="36"/>
  <c r="AE71" i="36" s="1"/>
  <c r="F23" i="36"/>
  <c r="AE23" i="36" s="1"/>
  <c r="F79" i="36"/>
  <c r="AE79" i="36" s="1"/>
  <c r="F49" i="36"/>
  <c r="AE49" i="36" s="1"/>
  <c r="F6" i="36"/>
  <c r="AE6" i="36" s="1"/>
  <c r="F45" i="36"/>
  <c r="AE45" i="36" s="1"/>
  <c r="F32" i="37"/>
  <c r="AE32" i="37" s="1"/>
  <c r="F10" i="37"/>
  <c r="AE10" i="37" s="1"/>
  <c r="F13" i="37"/>
  <c r="AE13" i="37" s="1"/>
  <c r="F49" i="37"/>
  <c r="AE49" i="37" s="1"/>
  <c r="F54" i="37"/>
  <c r="AE54" i="37" s="1"/>
  <c r="F41" i="37"/>
  <c r="AE41" i="37" s="1"/>
  <c r="F79" i="37"/>
  <c r="AE79" i="37" s="1"/>
  <c r="F84" i="37"/>
  <c r="AE84" i="37" s="1"/>
  <c r="F16" i="37"/>
  <c r="AE16" i="37" s="1"/>
  <c r="F63" i="37"/>
  <c r="AE63" i="37" s="1"/>
  <c r="F112" i="33"/>
  <c r="E18" i="34"/>
  <c r="E19" i="34" s="1"/>
  <c r="F113" i="18"/>
  <c r="E47" i="17"/>
  <c r="E48" i="17" s="1"/>
  <c r="F27" i="36"/>
  <c r="AE27" i="36" s="1"/>
  <c r="F67" i="36"/>
  <c r="AE67" i="36" s="1"/>
  <c r="F21" i="36"/>
  <c r="AE21" i="36" s="1"/>
  <c r="F54" i="36"/>
  <c r="AE54" i="36" s="1"/>
  <c r="F37" i="36"/>
  <c r="AE37" i="36" s="1"/>
  <c r="F83" i="36"/>
  <c r="AE83" i="36" s="1"/>
  <c r="F68" i="36"/>
  <c r="AE68" i="36" s="1"/>
  <c r="F75" i="36"/>
  <c r="AE75" i="36" s="1"/>
  <c r="F47" i="36"/>
  <c r="AE47" i="36" s="1"/>
  <c r="F25" i="36"/>
  <c r="AE25" i="36" s="1"/>
  <c r="F42" i="37"/>
  <c r="AE42" i="37" s="1"/>
  <c r="F36" i="37"/>
  <c r="AE36" i="37" s="1"/>
  <c r="F24" i="37"/>
  <c r="AE24" i="37" s="1"/>
  <c r="F76" i="37"/>
  <c r="AE76" i="37" s="1"/>
  <c r="F18" i="37"/>
  <c r="AE18" i="37" s="1"/>
  <c r="F68" i="37"/>
  <c r="AE68" i="37" s="1"/>
  <c r="F83" i="37"/>
  <c r="AE83" i="37" s="1"/>
  <c r="F37" i="37"/>
  <c r="AE37" i="37" s="1"/>
  <c r="F65" i="37"/>
  <c r="AE65" i="37" s="1"/>
  <c r="F48" i="37"/>
  <c r="AE48" i="37" s="1"/>
  <c r="F62" i="38"/>
  <c r="AE62" i="38" s="1"/>
  <c r="F42" i="38"/>
  <c r="AE42" i="38" s="1"/>
  <c r="F35" i="38"/>
  <c r="AE35" i="38" s="1"/>
  <c r="F75" i="38"/>
  <c r="AE75" i="38" s="1"/>
  <c r="F64" i="38"/>
  <c r="AE64" i="38" s="1"/>
  <c r="F33" i="38"/>
  <c r="AE33" i="38" s="1"/>
  <c r="F17" i="38"/>
  <c r="AE17" i="38" s="1"/>
  <c r="F50" i="38"/>
  <c r="AE50" i="38" s="1"/>
  <c r="F44" i="38"/>
  <c r="AE44" i="38" s="1"/>
  <c r="F12" i="38"/>
  <c r="AE12" i="38" s="1"/>
  <c r="F57" i="38"/>
  <c r="AE57" i="38" s="1"/>
  <c r="F61" i="38"/>
  <c r="AE61" i="38" s="1"/>
  <c r="F54" i="38"/>
  <c r="AE54" i="38" s="1"/>
  <c r="F6" i="38"/>
  <c r="AE6" i="38" s="1"/>
  <c r="F83" i="38"/>
  <c r="AE83" i="38" s="1"/>
  <c r="F49" i="38"/>
  <c r="AE49" i="38" s="1"/>
  <c r="F28" i="38"/>
  <c r="AE28" i="38" s="1"/>
  <c r="F32" i="38"/>
  <c r="AE32" i="38" s="1"/>
  <c r="F24" i="38"/>
  <c r="AE24" i="38" s="1"/>
  <c r="F13" i="38"/>
  <c r="AE13" i="38" s="1"/>
  <c r="F72" i="37"/>
  <c r="AE72" i="37" s="1"/>
  <c r="F66" i="37"/>
  <c r="AE66" i="37" s="1"/>
  <c r="F46" i="37"/>
  <c r="AE46" i="37" s="1"/>
  <c r="F39" i="37"/>
  <c r="AE39" i="37" s="1"/>
  <c r="F40" i="37"/>
  <c r="AE40" i="37" s="1"/>
  <c r="F29" i="37"/>
  <c r="AE29" i="37" s="1"/>
  <c r="F44" i="37"/>
  <c r="AE44" i="37" s="1"/>
  <c r="F25" i="37"/>
  <c r="AE25" i="37" s="1"/>
  <c r="F59" i="37"/>
  <c r="AE59" i="37" s="1"/>
  <c r="F31" i="37"/>
  <c r="AE31" i="37" s="1"/>
  <c r="F43" i="38"/>
  <c r="AE43" i="38" s="1"/>
  <c r="F4" i="38"/>
  <c r="AE4" i="38" s="1"/>
  <c r="F79" i="38"/>
  <c r="AE79" i="38" s="1"/>
  <c r="F41" i="38"/>
  <c r="AE41" i="38" s="1"/>
  <c r="F19" i="38"/>
  <c r="AE19" i="38" s="1"/>
  <c r="F48" i="38"/>
  <c r="AE48" i="38" s="1"/>
  <c r="F56" i="38"/>
  <c r="AE56" i="38" s="1"/>
  <c r="F23" i="38"/>
  <c r="AE23" i="38" s="1"/>
  <c r="F63" i="38"/>
  <c r="AE63" i="38" s="1"/>
  <c r="F70" i="38"/>
  <c r="AE70" i="38" s="1"/>
  <c r="F39" i="38"/>
  <c r="AE39" i="38" s="1"/>
  <c r="F11" i="38"/>
  <c r="AE11" i="38" s="1"/>
  <c r="F112" i="18"/>
  <c r="E18" i="17"/>
  <c r="E19" i="17" s="1"/>
  <c r="F60" i="36"/>
  <c r="AE60" i="36" s="1"/>
  <c r="F65" i="36"/>
  <c r="AE65" i="36" s="1"/>
  <c r="F42" i="36"/>
  <c r="AE42" i="36" s="1"/>
  <c r="F13" i="36"/>
  <c r="AE13" i="36" s="1"/>
  <c r="F9" i="37"/>
  <c r="AE9" i="37" s="1"/>
  <c r="F9" i="38"/>
  <c r="AE9" i="38" s="1"/>
  <c r="F40" i="38"/>
  <c r="AE40" i="38" s="1"/>
  <c r="F10" i="38"/>
  <c r="AE10" i="38" s="1"/>
  <c r="F46" i="38"/>
  <c r="AE46" i="38" s="1"/>
  <c r="F46" i="36"/>
  <c r="AE46" i="36" s="1"/>
  <c r="F77" i="36"/>
  <c r="AE77" i="36" s="1"/>
  <c r="F5" i="36"/>
  <c r="AE5" i="36" s="1"/>
  <c r="F17" i="36"/>
  <c r="AE17" i="36" s="1"/>
  <c r="F56" i="36"/>
  <c r="AE56" i="36" s="1"/>
  <c r="F63" i="36"/>
  <c r="AE63" i="36" s="1"/>
  <c r="F11" i="36"/>
  <c r="AE11" i="36" s="1"/>
  <c r="F16" i="36"/>
  <c r="AE16" i="36" s="1"/>
  <c r="F59" i="36"/>
  <c r="AE59" i="36" s="1"/>
  <c r="F74" i="36"/>
  <c r="AE74" i="36" s="1"/>
  <c r="F112" i="41"/>
  <c r="E18" i="39"/>
  <c r="E19" i="39" s="1"/>
  <c r="F38" i="37"/>
  <c r="AE38" i="37" s="1"/>
  <c r="F45" i="37"/>
  <c r="AE45" i="37" s="1"/>
  <c r="F15" i="37"/>
  <c r="AE15" i="37" s="1"/>
  <c r="F8" i="37"/>
  <c r="AE8" i="37" s="1"/>
  <c r="F53" i="37"/>
  <c r="AE53" i="37" s="1"/>
  <c r="F82" i="37"/>
  <c r="AE82" i="37" s="1"/>
  <c r="F80" i="37"/>
  <c r="AE80" i="37" s="1"/>
  <c r="F78" i="37"/>
  <c r="AE78" i="37" s="1"/>
  <c r="F71" i="37"/>
  <c r="AE71" i="37" s="1"/>
  <c r="F35" i="37"/>
  <c r="AE35" i="37" s="1"/>
  <c r="F21" i="38"/>
  <c r="AE21" i="38" s="1"/>
  <c r="F47" i="38"/>
  <c r="AE47" i="38" s="1"/>
  <c r="F74" i="38"/>
  <c r="AE74" i="38" s="1"/>
  <c r="F20" i="36"/>
  <c r="AE20" i="36" s="1"/>
  <c r="F64" i="36"/>
  <c r="AE64" i="36" s="1"/>
  <c r="F52" i="36"/>
  <c r="AE52" i="36" s="1"/>
  <c r="F24" i="36"/>
  <c r="AE24" i="36" s="1"/>
  <c r="F35" i="36"/>
  <c r="AE35" i="36" s="1"/>
  <c r="F78" i="36"/>
  <c r="AE78" i="36" s="1"/>
  <c r="F33" i="36"/>
  <c r="AE33" i="36" s="1"/>
  <c r="F32" i="36"/>
  <c r="AE32" i="36" s="1"/>
  <c r="F70" i="36"/>
  <c r="AE70" i="36" s="1"/>
  <c r="F57" i="36"/>
  <c r="AE57" i="36" s="1"/>
  <c r="F14" i="36"/>
  <c r="AE14" i="36" s="1"/>
  <c r="F10" i="36"/>
  <c r="AE10" i="36" s="1"/>
  <c r="F55" i="36"/>
  <c r="AE55" i="36" s="1"/>
  <c r="F4" i="36"/>
  <c r="AE4" i="36" s="1"/>
  <c r="F36" i="36"/>
  <c r="AE36" i="36" s="1"/>
  <c r="F39" i="36"/>
  <c r="AE39" i="36" s="1"/>
  <c r="F43" i="36"/>
  <c r="AE43" i="36" s="1"/>
  <c r="F50" i="36"/>
  <c r="AE50" i="36" s="1"/>
  <c r="F26" i="36"/>
  <c r="AE26" i="36" s="1"/>
  <c r="F28" i="36"/>
  <c r="AE28" i="36" s="1"/>
  <c r="F80" i="36"/>
  <c r="AE80" i="36" s="1"/>
  <c r="F5" i="37"/>
  <c r="AE5" i="37" s="1"/>
  <c r="F4" i="37"/>
  <c r="AE4" i="37" s="1"/>
  <c r="F58" i="37"/>
  <c r="AE58" i="37" s="1"/>
  <c r="F56" i="37"/>
  <c r="AE56" i="37" s="1"/>
  <c r="F52" i="37"/>
  <c r="AE52" i="37" s="1"/>
  <c r="F47" i="37"/>
  <c r="AE47" i="37" s="1"/>
  <c r="F28" i="37"/>
  <c r="AE28" i="37" s="1"/>
  <c r="F22" i="37"/>
  <c r="AE22" i="37" s="1"/>
  <c r="F67" i="37"/>
  <c r="AE67" i="37" s="1"/>
  <c r="F81" i="37"/>
  <c r="AE81" i="37" s="1"/>
  <c r="F68" i="38"/>
  <c r="AE68" i="38" s="1"/>
  <c r="G157" i="18"/>
  <c r="F157" i="18"/>
  <c r="E157" i="18"/>
  <c r="D157" i="18"/>
  <c r="C157" i="18"/>
  <c r="G162" i="18"/>
  <c r="C162" i="18"/>
  <c r="F162" i="18"/>
  <c r="E162" i="18"/>
  <c r="D162" i="18"/>
  <c r="D36" i="17"/>
  <c r="D37" i="17" s="1"/>
  <c r="D38" i="17" s="1"/>
  <c r="G27" i="26"/>
  <c r="AF27" i="26" s="1"/>
  <c r="G84" i="26"/>
  <c r="AF84" i="26" s="1"/>
  <c r="G4" i="26"/>
  <c r="AF4" i="26" s="1"/>
  <c r="G40" i="26"/>
  <c r="AF40" i="26" s="1"/>
  <c r="G65" i="26"/>
  <c r="AF65" i="26" s="1"/>
  <c r="G15" i="26"/>
  <c r="AF15" i="26" s="1"/>
  <c r="G54" i="26"/>
  <c r="AF54" i="26" s="1"/>
  <c r="G9" i="26"/>
  <c r="AF9" i="26" s="1"/>
  <c r="G35" i="26"/>
  <c r="AF35" i="26" s="1"/>
  <c r="G60" i="26"/>
  <c r="AF60" i="26" s="1"/>
  <c r="G20" i="26"/>
  <c r="AF20" i="26" s="1"/>
  <c r="G7" i="26"/>
  <c r="AF7" i="26" s="1"/>
  <c r="G8" i="26"/>
  <c r="AF8" i="26" s="1"/>
  <c r="G45" i="26"/>
  <c r="AF45" i="26" s="1"/>
  <c r="G62" i="26"/>
  <c r="AF62" i="26" s="1"/>
  <c r="G18" i="26"/>
  <c r="AF18" i="26" s="1"/>
  <c r="G19" i="26"/>
  <c r="AF19" i="26" s="1"/>
  <c r="G37" i="26"/>
  <c r="AF37" i="26" s="1"/>
  <c r="G46" i="26"/>
  <c r="AF46" i="26" s="1"/>
  <c r="G82" i="26"/>
  <c r="AF82" i="26" s="1"/>
  <c r="G36" i="26"/>
  <c r="AF36" i="26" s="1"/>
  <c r="G73" i="26"/>
  <c r="AF73" i="26" s="1"/>
  <c r="G25" i="26"/>
  <c r="AF25" i="26" s="1"/>
  <c r="G47" i="26"/>
  <c r="AF47" i="26" s="1"/>
  <c r="G43" i="26"/>
  <c r="AF43" i="26" s="1"/>
  <c r="G79" i="26"/>
  <c r="AF79" i="26" s="1"/>
  <c r="G13" i="26"/>
  <c r="AF13" i="26" s="1"/>
  <c r="G32" i="26"/>
  <c r="AF32" i="26" s="1"/>
  <c r="G38" i="26"/>
  <c r="AF38" i="26" s="1"/>
  <c r="G52" i="26"/>
  <c r="AF52" i="26" s="1"/>
  <c r="G59" i="26"/>
  <c r="AF59" i="26" s="1"/>
  <c r="G31" i="26"/>
  <c r="AF31" i="26" s="1"/>
  <c r="G49" i="26"/>
  <c r="AF49" i="26" s="1"/>
  <c r="G68" i="26"/>
  <c r="AF68" i="26" s="1"/>
  <c r="G5" i="26"/>
  <c r="AF5" i="26" s="1"/>
  <c r="G66" i="26"/>
  <c r="AF66" i="26" s="1"/>
  <c r="G75" i="26"/>
  <c r="AF75" i="26" s="1"/>
  <c r="G28" i="26"/>
  <c r="AF28" i="26" s="1"/>
  <c r="G21" i="26"/>
  <c r="AF21" i="26" s="1"/>
  <c r="G41" i="26"/>
  <c r="AF41" i="26" s="1"/>
  <c r="G81" i="26"/>
  <c r="AF81" i="26" s="1"/>
  <c r="G58" i="26"/>
  <c r="AF58" i="26" s="1"/>
  <c r="G76" i="26"/>
  <c r="AF76" i="26" s="1"/>
  <c r="G11" i="26"/>
  <c r="AF11" i="26" s="1"/>
  <c r="G29" i="26"/>
  <c r="AF29" i="26" s="1"/>
  <c r="G51" i="26"/>
  <c r="AF51" i="26" s="1"/>
  <c r="G50" i="26"/>
  <c r="AF50" i="26" s="1"/>
  <c r="G53" i="26"/>
  <c r="AF53" i="26" s="1"/>
  <c r="G72" i="26"/>
  <c r="AF72" i="26" s="1"/>
  <c r="G74" i="26"/>
  <c r="AF74" i="26" s="1"/>
  <c r="G77" i="26"/>
  <c r="AF77" i="26" s="1"/>
  <c r="G17" i="26"/>
  <c r="AF17" i="26" s="1"/>
  <c r="G34" i="26"/>
  <c r="AF34" i="26" s="1"/>
  <c r="G48" i="26"/>
  <c r="AF48" i="26" s="1"/>
  <c r="G71" i="26"/>
  <c r="AF71" i="26" s="1"/>
  <c r="G83" i="26"/>
  <c r="AF83" i="26" s="1"/>
  <c r="G23" i="26"/>
  <c r="AF23" i="26" s="1"/>
  <c r="G42" i="26"/>
  <c r="AF42" i="26" s="1"/>
  <c r="G56" i="26"/>
  <c r="AF56" i="26" s="1"/>
  <c r="G78" i="26"/>
  <c r="AF78" i="26" s="1"/>
  <c r="G12" i="26"/>
  <c r="AF12" i="26" s="1"/>
  <c r="G70" i="26"/>
  <c r="AF70" i="26" s="1"/>
  <c r="G14" i="26"/>
  <c r="AF14" i="26" s="1"/>
  <c r="G30" i="26"/>
  <c r="AF30" i="26" s="1"/>
  <c r="G44" i="26"/>
  <c r="AF44" i="26" s="1"/>
  <c r="G67" i="26"/>
  <c r="AF67" i="26" s="1"/>
  <c r="G63" i="26"/>
  <c r="AF63" i="26" s="1"/>
  <c r="G69" i="26"/>
  <c r="AF69" i="26" s="1"/>
  <c r="G6" i="26"/>
  <c r="AF6" i="26" s="1"/>
  <c r="G22" i="26"/>
  <c r="AF22" i="26" s="1"/>
  <c r="G61" i="26"/>
  <c r="AF61" i="26" s="1"/>
  <c r="G80" i="26"/>
  <c r="AF80" i="26" s="1"/>
  <c r="G16" i="26"/>
  <c r="AF16" i="26" s="1"/>
  <c r="G33" i="26"/>
  <c r="AF33" i="26" s="1"/>
  <c r="G55" i="26"/>
  <c r="AF55" i="26" s="1"/>
  <c r="G39" i="26"/>
  <c r="AF39" i="26" s="1"/>
  <c r="G26" i="26"/>
  <c r="AF26" i="26" s="1"/>
  <c r="G10" i="26"/>
  <c r="AF10" i="26" s="1"/>
  <c r="G24" i="26"/>
  <c r="AF24" i="26" s="1"/>
  <c r="G57" i="26"/>
  <c r="AF57" i="26" s="1"/>
  <c r="G64" i="26"/>
  <c r="AF64" i="26" s="1"/>
  <c r="D52" i="17"/>
  <c r="E13" i="17"/>
  <c r="F13" i="17"/>
  <c r="G52" i="17"/>
  <c r="C52" i="17"/>
  <c r="B162" i="18" l="1"/>
  <c r="B157" i="18"/>
  <c r="B166" i="18"/>
  <c r="B65" i="18"/>
  <c r="B160" i="18"/>
  <c r="B165" i="18"/>
  <c r="B158" i="18"/>
  <c r="B161" i="18"/>
  <c r="B192" i="18"/>
  <c r="B66" i="18" s="1"/>
  <c r="B163" i="18"/>
  <c r="E47" i="34"/>
  <c r="E48" i="34" s="1"/>
  <c r="F113" i="33"/>
  <c r="F113" i="42"/>
  <c r="E47" i="40"/>
  <c r="E48" i="40" s="1"/>
  <c r="F113" i="41"/>
  <c r="E47" i="39"/>
  <c r="E48" i="39" s="1"/>
  <c r="G65" i="31"/>
  <c r="AE65" i="31"/>
  <c r="G77" i="31"/>
  <c r="AE77" i="31"/>
  <c r="G45" i="31"/>
  <c r="AE45" i="31"/>
  <c r="G38" i="31"/>
  <c r="AE38" i="31"/>
  <c r="G70" i="31"/>
  <c r="AE70" i="31"/>
  <c r="G81" i="31"/>
  <c r="AE81" i="31"/>
  <c r="G60" i="31"/>
  <c r="AE60" i="31"/>
  <c r="G72" i="31"/>
  <c r="AE72" i="31"/>
  <c r="G62" i="31"/>
  <c r="AE62" i="31"/>
  <c r="G56" i="31"/>
  <c r="AE56" i="31"/>
  <c r="G29" i="31"/>
  <c r="AE29" i="31"/>
  <c r="G14" i="32"/>
  <c r="AE14" i="32"/>
  <c r="G28" i="32"/>
  <c r="AE28" i="32"/>
  <c r="G56" i="32"/>
  <c r="AE56" i="32"/>
  <c r="G61" i="32"/>
  <c r="AE61" i="32"/>
  <c r="G47" i="32"/>
  <c r="AE47" i="32"/>
  <c r="G27" i="32"/>
  <c r="AE27" i="32"/>
  <c r="G53" i="32"/>
  <c r="AE53" i="32"/>
  <c r="G26" i="32"/>
  <c r="AE26" i="32"/>
  <c r="G18" i="32"/>
  <c r="AE18" i="32"/>
  <c r="G35" i="32"/>
  <c r="AE35" i="32"/>
  <c r="G53" i="31"/>
  <c r="AE53" i="31"/>
  <c r="G33" i="31"/>
  <c r="AE33" i="31"/>
  <c r="G66" i="31"/>
  <c r="AE66" i="31"/>
  <c r="G27" i="31"/>
  <c r="AE27" i="31"/>
  <c r="G69" i="31"/>
  <c r="AE69" i="31"/>
  <c r="G47" i="31"/>
  <c r="AE47" i="31"/>
  <c r="G41" i="31"/>
  <c r="AE41" i="31"/>
  <c r="G78" i="31"/>
  <c r="AE78" i="31"/>
  <c r="G32" i="31"/>
  <c r="AE32" i="31"/>
  <c r="G35" i="31"/>
  <c r="AE35" i="31"/>
  <c r="G5" i="32"/>
  <c r="AE5" i="32"/>
  <c r="G9" i="32"/>
  <c r="AE9" i="32"/>
  <c r="G24" i="32"/>
  <c r="AE24" i="32"/>
  <c r="G76" i="32"/>
  <c r="AE76" i="32"/>
  <c r="G66" i="32"/>
  <c r="AE66" i="32"/>
  <c r="G31" i="32"/>
  <c r="AE31" i="32"/>
  <c r="G50" i="32"/>
  <c r="AE50" i="32"/>
  <c r="G51" i="32"/>
  <c r="AE51" i="32"/>
  <c r="G25" i="32"/>
  <c r="AE25" i="32"/>
  <c r="G13" i="32"/>
  <c r="AE13" i="32"/>
  <c r="G72" i="30"/>
  <c r="AE72" i="30"/>
  <c r="H63" i="10"/>
  <c r="AG63" i="10" s="1"/>
  <c r="AF63" i="10"/>
  <c r="G6" i="30"/>
  <c r="AE6" i="30"/>
  <c r="H36" i="10"/>
  <c r="AG36" i="10" s="1"/>
  <c r="AF36" i="10"/>
  <c r="H25" i="10"/>
  <c r="AG25" i="10" s="1"/>
  <c r="AF25" i="10"/>
  <c r="G4" i="30"/>
  <c r="AE4" i="30"/>
  <c r="H8" i="10"/>
  <c r="AG8" i="10" s="1"/>
  <c r="AF8" i="10"/>
  <c r="H5" i="10"/>
  <c r="AG5" i="10" s="1"/>
  <c r="AF5" i="10"/>
  <c r="H68" i="10"/>
  <c r="AG68" i="10" s="1"/>
  <c r="AF68" i="10"/>
  <c r="G35" i="30"/>
  <c r="AE35" i="30"/>
  <c r="H79" i="10"/>
  <c r="AG79" i="10" s="1"/>
  <c r="AF79" i="10"/>
  <c r="G25" i="30"/>
  <c r="AE25" i="30"/>
  <c r="G13" i="30"/>
  <c r="AE13" i="30"/>
  <c r="H31" i="10"/>
  <c r="AG31" i="10" s="1"/>
  <c r="AF31" i="10"/>
  <c r="H48" i="10"/>
  <c r="AG48" i="10" s="1"/>
  <c r="AF48" i="10"/>
  <c r="H55" i="10"/>
  <c r="AG55" i="10" s="1"/>
  <c r="AF55" i="10"/>
  <c r="H22" i="10"/>
  <c r="AG22" i="10" s="1"/>
  <c r="AF22" i="10"/>
  <c r="G11" i="30"/>
  <c r="AE11" i="30"/>
  <c r="G24" i="30"/>
  <c r="AE24" i="30"/>
  <c r="G79" i="30"/>
  <c r="AE79" i="30"/>
  <c r="H51" i="10"/>
  <c r="AG51" i="10" s="1"/>
  <c r="AF51" i="10"/>
  <c r="G7" i="30"/>
  <c r="AE7" i="30"/>
  <c r="G78" i="30"/>
  <c r="AE78" i="30"/>
  <c r="G58" i="30"/>
  <c r="AE58" i="30"/>
  <c r="H9" i="10"/>
  <c r="AG9" i="10" s="1"/>
  <c r="AF9" i="10"/>
  <c r="H82" i="10"/>
  <c r="AG82" i="10" s="1"/>
  <c r="AF82" i="10"/>
  <c r="G34" i="30"/>
  <c r="AE34" i="30"/>
  <c r="H7" i="10"/>
  <c r="AG7" i="10" s="1"/>
  <c r="AF7" i="10"/>
  <c r="G84" i="30"/>
  <c r="AE84" i="30"/>
  <c r="G12" i="30"/>
  <c r="AE12" i="30"/>
  <c r="G22" i="30"/>
  <c r="AE22" i="30"/>
  <c r="G20" i="30"/>
  <c r="AE20" i="30"/>
  <c r="H27" i="10"/>
  <c r="AG27" i="10" s="1"/>
  <c r="AF27" i="10"/>
  <c r="G26" i="30"/>
  <c r="AE26" i="30"/>
  <c r="G18" i="30"/>
  <c r="AE18" i="30"/>
  <c r="G67" i="30"/>
  <c r="AE67" i="30"/>
  <c r="G15" i="30"/>
  <c r="AE15" i="30"/>
  <c r="H83" i="10"/>
  <c r="AG83" i="10" s="1"/>
  <c r="AF83" i="10"/>
  <c r="H4" i="10"/>
  <c r="AG4" i="10" s="1"/>
  <c r="AF4" i="10"/>
  <c r="H77" i="10"/>
  <c r="AG77" i="10" s="1"/>
  <c r="AF77" i="10"/>
  <c r="H69" i="10"/>
  <c r="AG69" i="10" s="1"/>
  <c r="AF69" i="10"/>
  <c r="G51" i="31"/>
  <c r="AE51" i="31"/>
  <c r="G21" i="31"/>
  <c r="AE21" i="31"/>
  <c r="G19" i="31"/>
  <c r="AE19" i="31"/>
  <c r="G74" i="31"/>
  <c r="AE74" i="31"/>
  <c r="G50" i="31"/>
  <c r="AE50" i="31"/>
  <c r="G12" i="31"/>
  <c r="AE12" i="31"/>
  <c r="G20" i="31"/>
  <c r="AE20" i="31"/>
  <c r="G25" i="31"/>
  <c r="AE25" i="31"/>
  <c r="G28" i="31"/>
  <c r="AE28" i="31"/>
  <c r="G14" i="31"/>
  <c r="AE14" i="31"/>
  <c r="G67" i="32"/>
  <c r="AE67" i="32"/>
  <c r="G38" i="32"/>
  <c r="AE38" i="32"/>
  <c r="G19" i="32"/>
  <c r="AE19" i="32"/>
  <c r="G80" i="32"/>
  <c r="AE80" i="32"/>
  <c r="G70" i="32"/>
  <c r="AE70" i="32"/>
  <c r="G60" i="32"/>
  <c r="AE60" i="32"/>
  <c r="G36" i="32"/>
  <c r="AE36" i="32"/>
  <c r="G43" i="32"/>
  <c r="AE43" i="32"/>
  <c r="G82" i="32"/>
  <c r="AE82" i="32"/>
  <c r="G59" i="32"/>
  <c r="AE59" i="32"/>
  <c r="G15" i="31"/>
  <c r="AE15" i="31"/>
  <c r="G80" i="31"/>
  <c r="AE80" i="31"/>
  <c r="G84" i="31"/>
  <c r="AE84" i="31"/>
  <c r="G64" i="31"/>
  <c r="AE64" i="31"/>
  <c r="G36" i="31"/>
  <c r="AE36" i="31"/>
  <c r="G24" i="31"/>
  <c r="AE24" i="31"/>
  <c r="G76" i="31"/>
  <c r="AE76" i="31"/>
  <c r="G6" i="31"/>
  <c r="AE6" i="31"/>
  <c r="G31" i="31"/>
  <c r="AE31" i="31"/>
  <c r="G16" i="32"/>
  <c r="AE16" i="32"/>
  <c r="G75" i="32"/>
  <c r="AE75" i="32"/>
  <c r="G6" i="32"/>
  <c r="AE6" i="32"/>
  <c r="G45" i="32"/>
  <c r="AE45" i="32"/>
  <c r="G11" i="32"/>
  <c r="AE11" i="32"/>
  <c r="G73" i="32"/>
  <c r="AE73" i="32"/>
  <c r="G34" i="32"/>
  <c r="AE34" i="32"/>
  <c r="G32" i="32"/>
  <c r="AE32" i="32"/>
  <c r="G29" i="32"/>
  <c r="AE29" i="32"/>
  <c r="G71" i="30"/>
  <c r="AE71" i="30"/>
  <c r="H35" i="10"/>
  <c r="AG35" i="10" s="1"/>
  <c r="AF35" i="10"/>
  <c r="G21" i="30"/>
  <c r="AE21" i="30"/>
  <c r="H23" i="10"/>
  <c r="AG23" i="10" s="1"/>
  <c r="AF23" i="10"/>
  <c r="H29" i="10"/>
  <c r="AG29" i="10" s="1"/>
  <c r="AF29" i="10"/>
  <c r="H40" i="10"/>
  <c r="AG40" i="10" s="1"/>
  <c r="AF40" i="10"/>
  <c r="G83" i="30"/>
  <c r="AE83" i="30"/>
  <c r="G64" i="30"/>
  <c r="AE64" i="30"/>
  <c r="H44" i="10"/>
  <c r="AG44" i="10" s="1"/>
  <c r="AF44" i="10"/>
  <c r="H30" i="10"/>
  <c r="AG30" i="10" s="1"/>
  <c r="AF30" i="10"/>
  <c r="H12" i="10"/>
  <c r="AG12" i="10" s="1"/>
  <c r="AF12" i="10"/>
  <c r="H64" i="10"/>
  <c r="AG64" i="10" s="1"/>
  <c r="AF64" i="10"/>
  <c r="H57" i="10"/>
  <c r="AG57" i="10" s="1"/>
  <c r="AF57" i="10"/>
  <c r="H41" i="10"/>
  <c r="AG41" i="10" s="1"/>
  <c r="AF41" i="10"/>
  <c r="H71" i="10"/>
  <c r="AG71" i="10" s="1"/>
  <c r="AF71" i="10"/>
  <c r="G55" i="30"/>
  <c r="AE55" i="30"/>
  <c r="H26" i="10"/>
  <c r="AG26" i="10" s="1"/>
  <c r="AF26" i="10"/>
  <c r="H20" i="10"/>
  <c r="AG20" i="10" s="1"/>
  <c r="AF20" i="10"/>
  <c r="G75" i="30"/>
  <c r="AE75" i="30"/>
  <c r="G29" i="30"/>
  <c r="AE29" i="30"/>
  <c r="H76" i="10"/>
  <c r="AG76" i="10" s="1"/>
  <c r="AF76" i="10"/>
  <c r="G14" i="30"/>
  <c r="AE14" i="30"/>
  <c r="G47" i="30"/>
  <c r="AE47" i="30"/>
  <c r="G30" i="30"/>
  <c r="AE30" i="30"/>
  <c r="H34" i="10"/>
  <c r="AG34" i="10" s="1"/>
  <c r="AF34" i="10"/>
  <c r="G74" i="30"/>
  <c r="AE74" i="30"/>
  <c r="G27" i="30"/>
  <c r="AE27" i="30"/>
  <c r="H14" i="10"/>
  <c r="AG14" i="10" s="1"/>
  <c r="AF14" i="10"/>
  <c r="G44" i="31"/>
  <c r="AE44" i="31"/>
  <c r="G49" i="30"/>
  <c r="AE49" i="30"/>
  <c r="H73" i="10"/>
  <c r="AG73" i="10" s="1"/>
  <c r="AF73" i="10"/>
  <c r="G81" i="30"/>
  <c r="AE81" i="30"/>
  <c r="H62" i="10"/>
  <c r="AG62" i="10" s="1"/>
  <c r="AF62" i="10"/>
  <c r="H59" i="10"/>
  <c r="AG59" i="10" s="1"/>
  <c r="AF59" i="10"/>
  <c r="G82" i="30"/>
  <c r="AE82" i="30"/>
  <c r="G38" i="30"/>
  <c r="AE38" i="30"/>
  <c r="G77" i="30"/>
  <c r="AE77" i="30"/>
  <c r="H24" i="10"/>
  <c r="AG24" i="10" s="1"/>
  <c r="AF24" i="10"/>
  <c r="G68" i="30"/>
  <c r="AE68" i="30"/>
  <c r="H80" i="10"/>
  <c r="AG80" i="10" s="1"/>
  <c r="AF80" i="10"/>
  <c r="H43" i="10"/>
  <c r="AG43" i="10" s="1"/>
  <c r="AF43" i="10"/>
  <c r="G49" i="31"/>
  <c r="AE49" i="31"/>
  <c r="G11" i="31"/>
  <c r="AE11" i="31"/>
  <c r="G83" i="31"/>
  <c r="AE83" i="31"/>
  <c r="G30" i="31"/>
  <c r="AE30" i="31"/>
  <c r="G26" i="31"/>
  <c r="AE26" i="31"/>
  <c r="G52" i="31"/>
  <c r="AE52" i="31"/>
  <c r="G43" i="31"/>
  <c r="AE43" i="31"/>
  <c r="G82" i="31"/>
  <c r="AE82" i="31"/>
  <c r="G69" i="32"/>
  <c r="AE69" i="32"/>
  <c r="G57" i="32"/>
  <c r="AE57" i="32"/>
  <c r="G40" i="32"/>
  <c r="AE40" i="32"/>
  <c r="G62" i="32"/>
  <c r="AE62" i="32"/>
  <c r="G72" i="32"/>
  <c r="AE72" i="32"/>
  <c r="G15" i="32"/>
  <c r="AE15" i="32"/>
  <c r="G81" i="32"/>
  <c r="AE81" i="32"/>
  <c r="G37" i="32"/>
  <c r="AE37" i="32"/>
  <c r="G57" i="31"/>
  <c r="AE57" i="31"/>
  <c r="G79" i="32"/>
  <c r="AE79" i="32"/>
  <c r="G21" i="32"/>
  <c r="AE21" i="32"/>
  <c r="G4" i="31"/>
  <c r="AE4" i="31"/>
  <c r="G39" i="31"/>
  <c r="AE39" i="31"/>
  <c r="G8" i="31"/>
  <c r="AE8" i="31"/>
  <c r="G75" i="31"/>
  <c r="AE75" i="31"/>
  <c r="G48" i="31"/>
  <c r="AE48" i="31"/>
  <c r="G73" i="31"/>
  <c r="AE73" i="31"/>
  <c r="G13" i="31"/>
  <c r="AE13" i="31"/>
  <c r="G23" i="31"/>
  <c r="AE23" i="31"/>
  <c r="G58" i="31"/>
  <c r="AE58" i="31"/>
  <c r="G83" i="32"/>
  <c r="AE83" i="32"/>
  <c r="G23" i="32"/>
  <c r="AE23" i="32"/>
  <c r="G8" i="32"/>
  <c r="AE8" i="32"/>
  <c r="G22" i="32"/>
  <c r="AE22" i="32"/>
  <c r="G65" i="32"/>
  <c r="AE65" i="32"/>
  <c r="G58" i="32"/>
  <c r="AE58" i="32"/>
  <c r="G59" i="31"/>
  <c r="AE59" i="31"/>
  <c r="G20" i="32"/>
  <c r="AE20" i="32"/>
  <c r="G30" i="32"/>
  <c r="AE30" i="32"/>
  <c r="G49" i="32"/>
  <c r="AE49" i="32"/>
  <c r="G10" i="32"/>
  <c r="AE10" i="32"/>
  <c r="G54" i="30"/>
  <c r="AE54" i="30"/>
  <c r="G57" i="30"/>
  <c r="AE57" i="30"/>
  <c r="G32" i="30"/>
  <c r="AE32" i="30"/>
  <c r="H47" i="10"/>
  <c r="AG47" i="10" s="1"/>
  <c r="AF47" i="10"/>
  <c r="H50" i="10"/>
  <c r="AG50" i="10" s="1"/>
  <c r="AF50" i="10"/>
  <c r="H19" i="10"/>
  <c r="AG19" i="10" s="1"/>
  <c r="AF19" i="10"/>
  <c r="H33" i="10"/>
  <c r="AG33" i="10" s="1"/>
  <c r="AF33" i="10"/>
  <c r="G28" i="30"/>
  <c r="AE28" i="30"/>
  <c r="G10" i="30"/>
  <c r="AE10" i="30"/>
  <c r="G61" i="30"/>
  <c r="AE61" i="30"/>
  <c r="H58" i="10"/>
  <c r="AG58" i="10" s="1"/>
  <c r="AF58" i="10"/>
  <c r="H74" i="10"/>
  <c r="AG74" i="10" s="1"/>
  <c r="AF74" i="10"/>
  <c r="G73" i="30"/>
  <c r="AE73" i="30"/>
  <c r="H49" i="10"/>
  <c r="AG49" i="10" s="1"/>
  <c r="AF49" i="10"/>
  <c r="G31" i="30"/>
  <c r="AE31" i="30"/>
  <c r="H45" i="10"/>
  <c r="AG45" i="10" s="1"/>
  <c r="AF45" i="10"/>
  <c r="H56" i="10"/>
  <c r="AG56" i="10" s="1"/>
  <c r="AF56" i="10"/>
  <c r="H18" i="10"/>
  <c r="AG18" i="10" s="1"/>
  <c r="AF18" i="10"/>
  <c r="H67" i="10"/>
  <c r="AG67" i="10" s="1"/>
  <c r="AF67" i="10"/>
  <c r="G9" i="30"/>
  <c r="AE9" i="30"/>
  <c r="G42" i="30"/>
  <c r="AE42" i="30"/>
  <c r="H13" i="10"/>
  <c r="AG13" i="10" s="1"/>
  <c r="AF13" i="10"/>
  <c r="H6" i="10"/>
  <c r="AG6" i="10" s="1"/>
  <c r="AF6" i="10"/>
  <c r="G36" i="30"/>
  <c r="AE36" i="30"/>
  <c r="G70" i="30"/>
  <c r="AE70" i="30"/>
  <c r="G39" i="30"/>
  <c r="AE39" i="30"/>
  <c r="G16" i="30"/>
  <c r="AE16" i="30"/>
  <c r="G66" i="30"/>
  <c r="AE66" i="30"/>
  <c r="G63" i="30"/>
  <c r="AE63" i="30"/>
  <c r="H60" i="10"/>
  <c r="AG60" i="10" s="1"/>
  <c r="AF60" i="10"/>
  <c r="G59" i="30"/>
  <c r="AE59" i="30"/>
  <c r="G40" i="30"/>
  <c r="AE40" i="30"/>
  <c r="H10" i="10"/>
  <c r="AG10" i="10" s="1"/>
  <c r="AF10" i="10"/>
  <c r="G56" i="30"/>
  <c r="AE56" i="30"/>
  <c r="G44" i="32"/>
  <c r="AE44" i="32"/>
  <c r="H21" i="10"/>
  <c r="AG21" i="10" s="1"/>
  <c r="AF21" i="10"/>
  <c r="G80" i="30"/>
  <c r="AE80" i="30"/>
  <c r="G76" i="30"/>
  <c r="AE76" i="30"/>
  <c r="H15" i="10"/>
  <c r="AG15" i="10" s="1"/>
  <c r="AF15" i="10"/>
  <c r="H65" i="10"/>
  <c r="AG65" i="10" s="1"/>
  <c r="AF65" i="10"/>
  <c r="H52" i="10"/>
  <c r="AG52" i="10" s="1"/>
  <c r="AF52" i="10"/>
  <c r="G37" i="31"/>
  <c r="AE37" i="31"/>
  <c r="G71" i="31"/>
  <c r="AE71" i="31"/>
  <c r="G42" i="31"/>
  <c r="AE42" i="31"/>
  <c r="G79" i="31"/>
  <c r="AE79" i="31"/>
  <c r="G61" i="31"/>
  <c r="AE61" i="31"/>
  <c r="G68" i="31"/>
  <c r="AE68" i="31"/>
  <c r="G22" i="31"/>
  <c r="AE22" i="31"/>
  <c r="G10" i="31"/>
  <c r="AE10" i="31"/>
  <c r="G17" i="31"/>
  <c r="AE17" i="31"/>
  <c r="G67" i="31"/>
  <c r="AE67" i="31"/>
  <c r="G46" i="32"/>
  <c r="AE46" i="32"/>
  <c r="G7" i="32"/>
  <c r="AE7" i="32"/>
  <c r="G55" i="32"/>
  <c r="AE55" i="32"/>
  <c r="G17" i="32"/>
  <c r="AE17" i="32"/>
  <c r="G78" i="32"/>
  <c r="AE78" i="32"/>
  <c r="G77" i="32"/>
  <c r="AE77" i="32"/>
  <c r="G74" i="32"/>
  <c r="AE74" i="32"/>
  <c r="G42" i="32"/>
  <c r="AE42" i="32"/>
  <c r="G64" i="32"/>
  <c r="AE64" i="32"/>
  <c r="G54" i="32"/>
  <c r="AE54" i="32"/>
  <c r="G63" i="31"/>
  <c r="AE63" i="31"/>
  <c r="G40" i="31"/>
  <c r="AE40" i="31"/>
  <c r="G9" i="31"/>
  <c r="AE9" i="31"/>
  <c r="G46" i="31"/>
  <c r="AE46" i="31"/>
  <c r="G34" i="31"/>
  <c r="AE34" i="31"/>
  <c r="G5" i="31"/>
  <c r="AE5" i="31"/>
  <c r="G18" i="31"/>
  <c r="AE18" i="31"/>
  <c r="G54" i="31"/>
  <c r="AE54" i="31"/>
  <c r="G16" i="31"/>
  <c r="AE16" i="31"/>
  <c r="G55" i="31"/>
  <c r="AE55" i="31"/>
  <c r="G7" i="31"/>
  <c r="AE7" i="31"/>
  <c r="G39" i="32"/>
  <c r="AE39" i="32"/>
  <c r="G68" i="32"/>
  <c r="AE68" i="32"/>
  <c r="G12" i="32"/>
  <c r="AE12" i="32"/>
  <c r="G84" i="32"/>
  <c r="AE84" i="32"/>
  <c r="G33" i="32"/>
  <c r="AE33" i="32"/>
  <c r="G71" i="32"/>
  <c r="AE71" i="32"/>
  <c r="G48" i="32"/>
  <c r="AE48" i="32"/>
  <c r="G4" i="32"/>
  <c r="AE4" i="32"/>
  <c r="G52" i="32"/>
  <c r="AE52" i="32"/>
  <c r="G41" i="32"/>
  <c r="AE41" i="32"/>
  <c r="G44" i="30"/>
  <c r="AE44" i="30"/>
  <c r="G50" i="30"/>
  <c r="AE50" i="30"/>
  <c r="G19" i="30"/>
  <c r="AE19" i="30"/>
  <c r="G65" i="30"/>
  <c r="AE65" i="30"/>
  <c r="G48" i="30"/>
  <c r="AE48" i="30"/>
  <c r="H37" i="10"/>
  <c r="AG37" i="10" s="1"/>
  <c r="AF37" i="10"/>
  <c r="H53" i="10"/>
  <c r="AG53" i="10" s="1"/>
  <c r="AF53" i="10"/>
  <c r="H75" i="10"/>
  <c r="AG75" i="10" s="1"/>
  <c r="AF75" i="10"/>
  <c r="H81" i="10"/>
  <c r="AG81" i="10" s="1"/>
  <c r="AF81" i="10"/>
  <c r="H46" i="10"/>
  <c r="AG46" i="10" s="1"/>
  <c r="AF46" i="10"/>
  <c r="H28" i="10"/>
  <c r="AG28" i="10" s="1"/>
  <c r="AF28" i="10"/>
  <c r="H39" i="10"/>
  <c r="AG39" i="10" s="1"/>
  <c r="AF39" i="10"/>
  <c r="H66" i="10"/>
  <c r="AG66" i="10" s="1"/>
  <c r="AF66" i="10"/>
  <c r="G8" i="30"/>
  <c r="AE8" i="30"/>
  <c r="G37" i="30"/>
  <c r="AE37" i="30"/>
  <c r="G17" i="30"/>
  <c r="AE17" i="30"/>
  <c r="G5" i="30"/>
  <c r="AE5" i="30"/>
  <c r="H61" i="10"/>
  <c r="AG61" i="10" s="1"/>
  <c r="AF61" i="10"/>
  <c r="G23" i="30"/>
  <c r="AE23" i="30"/>
  <c r="G62" i="30"/>
  <c r="AE62" i="30"/>
  <c r="G41" i="30"/>
  <c r="AE41" i="30"/>
  <c r="H78" i="10"/>
  <c r="AG78" i="10" s="1"/>
  <c r="AF78" i="10"/>
  <c r="H84" i="10"/>
  <c r="AG84" i="10" s="1"/>
  <c r="AF84" i="10"/>
  <c r="G53" i="30"/>
  <c r="AE53" i="30"/>
  <c r="G52" i="30"/>
  <c r="AE52" i="30"/>
  <c r="H16" i="10"/>
  <c r="AG16" i="10" s="1"/>
  <c r="AF16" i="10"/>
  <c r="H11" i="10"/>
  <c r="AG11" i="10" s="1"/>
  <c r="AF11" i="10"/>
  <c r="G43" i="30"/>
  <c r="AE43" i="30"/>
  <c r="H32" i="10"/>
  <c r="AG32" i="10" s="1"/>
  <c r="AF32" i="10"/>
  <c r="H54" i="10"/>
  <c r="AG54" i="10" s="1"/>
  <c r="AF54" i="10"/>
  <c r="G69" i="30"/>
  <c r="AE69" i="30"/>
  <c r="H38" i="10"/>
  <c r="AG38" i="10" s="1"/>
  <c r="AF38" i="10"/>
  <c r="H42" i="10"/>
  <c r="AG42" i="10" s="1"/>
  <c r="AF42" i="10"/>
  <c r="H70" i="10"/>
  <c r="AG70" i="10" s="1"/>
  <c r="AF70" i="10"/>
  <c r="G51" i="30"/>
  <c r="AE51" i="30"/>
  <c r="G63" i="32"/>
  <c r="AE63" i="32"/>
  <c r="G45" i="30"/>
  <c r="AE45" i="30"/>
  <c r="G33" i="30"/>
  <c r="AE33" i="30"/>
  <c r="H17" i="10"/>
  <c r="AG17" i="10" s="1"/>
  <c r="AF17" i="10"/>
  <c r="H72" i="10"/>
  <c r="AG72" i="10" s="1"/>
  <c r="AF72" i="10"/>
  <c r="G46" i="30"/>
  <c r="AE46" i="30"/>
  <c r="G60" i="30"/>
  <c r="AE60" i="30"/>
  <c r="E36" i="17"/>
  <c r="E37" i="17" s="1"/>
  <c r="D36" i="40"/>
  <c r="D37" i="40" s="1"/>
  <c r="D36" i="34"/>
  <c r="D37" i="34" s="1"/>
  <c r="D36" i="39"/>
  <c r="D37" i="39" s="1"/>
  <c r="G68" i="38"/>
  <c r="AF68" i="38" s="1"/>
  <c r="G67" i="37"/>
  <c r="AF67" i="37" s="1"/>
  <c r="G28" i="37"/>
  <c r="AF28" i="37" s="1"/>
  <c r="G52" i="37"/>
  <c r="AF52" i="37" s="1"/>
  <c r="G58" i="37"/>
  <c r="AF58" i="37" s="1"/>
  <c r="G5" i="37"/>
  <c r="AF5" i="37" s="1"/>
  <c r="G28" i="36"/>
  <c r="AF28" i="36" s="1"/>
  <c r="G50" i="36"/>
  <c r="AF50" i="36" s="1"/>
  <c r="G39" i="36"/>
  <c r="AF39" i="36" s="1"/>
  <c r="G4" i="36"/>
  <c r="AF4" i="36" s="1"/>
  <c r="G10" i="36"/>
  <c r="AF10" i="36" s="1"/>
  <c r="G57" i="36"/>
  <c r="AF57" i="36" s="1"/>
  <c r="G32" i="36"/>
  <c r="AF32" i="36" s="1"/>
  <c r="G78" i="36"/>
  <c r="AF78" i="36" s="1"/>
  <c r="G24" i="36"/>
  <c r="AF24" i="36" s="1"/>
  <c r="G64" i="36"/>
  <c r="AF64" i="36" s="1"/>
  <c r="G74" i="38"/>
  <c r="AF74" i="38" s="1"/>
  <c r="G21" i="38"/>
  <c r="AF21" i="38" s="1"/>
  <c r="G35" i="37"/>
  <c r="AF35" i="37" s="1"/>
  <c r="G78" i="37"/>
  <c r="AF78" i="37" s="1"/>
  <c r="G82" i="37"/>
  <c r="AF82" i="37" s="1"/>
  <c r="G8" i="37"/>
  <c r="AF8" i="37" s="1"/>
  <c r="G45" i="37"/>
  <c r="AF45" i="37" s="1"/>
  <c r="G112" i="41"/>
  <c r="G18" i="39" s="1"/>
  <c r="G19" i="39" s="1"/>
  <c r="F18" i="39"/>
  <c r="F19" i="39" s="1"/>
  <c r="G59" i="36"/>
  <c r="AF59" i="36" s="1"/>
  <c r="G11" i="36"/>
  <c r="AF11" i="36" s="1"/>
  <c r="G56" i="36"/>
  <c r="AF56" i="36" s="1"/>
  <c r="G5" i="36"/>
  <c r="AF5" i="36" s="1"/>
  <c r="G46" i="36"/>
  <c r="AF46" i="36" s="1"/>
  <c r="G10" i="38"/>
  <c r="AF10" i="38" s="1"/>
  <c r="G9" i="38"/>
  <c r="AF9" i="38" s="1"/>
  <c r="G13" i="36"/>
  <c r="AF13" i="36" s="1"/>
  <c r="G65" i="36"/>
  <c r="AF65" i="36" s="1"/>
  <c r="G112" i="18"/>
  <c r="G18" i="17" s="1"/>
  <c r="G19" i="17" s="1"/>
  <c r="F18" i="17"/>
  <c r="F19" i="17" s="1"/>
  <c r="G39" i="38"/>
  <c r="AF39" i="38" s="1"/>
  <c r="G63" i="38"/>
  <c r="AF63" i="38" s="1"/>
  <c r="G56" i="38"/>
  <c r="AF56" i="38" s="1"/>
  <c r="G19" i="38"/>
  <c r="AF19" i="38" s="1"/>
  <c r="G79" i="38"/>
  <c r="AF79" i="38" s="1"/>
  <c r="G43" i="38"/>
  <c r="AF43" i="38" s="1"/>
  <c r="G59" i="37"/>
  <c r="AF59" i="37" s="1"/>
  <c r="G44" i="37"/>
  <c r="AF44" i="37" s="1"/>
  <c r="G40" i="37"/>
  <c r="AF40" i="37" s="1"/>
  <c r="G46" i="37"/>
  <c r="AF46" i="37" s="1"/>
  <c r="G72" i="37"/>
  <c r="AF72" i="37" s="1"/>
  <c r="G24" i="38"/>
  <c r="AF24" i="38" s="1"/>
  <c r="G28" i="38"/>
  <c r="AF28" i="38" s="1"/>
  <c r="G83" i="38"/>
  <c r="AF83" i="38" s="1"/>
  <c r="G54" i="38"/>
  <c r="AF54" i="38" s="1"/>
  <c r="G57" i="38"/>
  <c r="AF57" i="38" s="1"/>
  <c r="G44" i="38"/>
  <c r="AF44" i="38" s="1"/>
  <c r="G17" i="38"/>
  <c r="AF17" i="38" s="1"/>
  <c r="G64" i="38"/>
  <c r="AF64" i="38" s="1"/>
  <c r="G35" i="38"/>
  <c r="AF35" i="38" s="1"/>
  <c r="G62" i="38"/>
  <c r="AF62" i="38" s="1"/>
  <c r="G65" i="37"/>
  <c r="AF65" i="37" s="1"/>
  <c r="G83" i="37"/>
  <c r="AF83" i="37" s="1"/>
  <c r="G18" i="37"/>
  <c r="AF18" i="37" s="1"/>
  <c r="G24" i="37"/>
  <c r="AF24" i="37" s="1"/>
  <c r="G42" i="37"/>
  <c r="AF42" i="37" s="1"/>
  <c r="G47" i="36"/>
  <c r="AF47" i="36" s="1"/>
  <c r="G68" i="36"/>
  <c r="AF68" i="36" s="1"/>
  <c r="G37" i="36"/>
  <c r="AF37" i="36" s="1"/>
  <c r="G21" i="36"/>
  <c r="AF21" i="36" s="1"/>
  <c r="G27" i="36"/>
  <c r="AF27" i="36" s="1"/>
  <c r="G63" i="37"/>
  <c r="AF63" i="37" s="1"/>
  <c r="G84" i="37"/>
  <c r="AF84" i="37" s="1"/>
  <c r="G41" i="37"/>
  <c r="AF41" i="37" s="1"/>
  <c r="G49" i="37"/>
  <c r="AF49" i="37" s="1"/>
  <c r="G10" i="37"/>
  <c r="AF10" i="37" s="1"/>
  <c r="G6" i="36"/>
  <c r="AF6" i="36" s="1"/>
  <c r="G79" i="36"/>
  <c r="AF79" i="36" s="1"/>
  <c r="G71" i="36"/>
  <c r="AF71" i="36" s="1"/>
  <c r="G76" i="36"/>
  <c r="AF76" i="36" s="1"/>
  <c r="G44" i="36"/>
  <c r="AF44" i="36" s="1"/>
  <c r="G8" i="36"/>
  <c r="AF8" i="36" s="1"/>
  <c r="G18" i="36"/>
  <c r="AF18" i="36" s="1"/>
  <c r="G66" i="36"/>
  <c r="AF66" i="36" s="1"/>
  <c r="G29" i="36"/>
  <c r="AF29" i="36" s="1"/>
  <c r="G81" i="36"/>
  <c r="AF81" i="36" s="1"/>
  <c r="G14" i="38"/>
  <c r="AF14" i="38" s="1"/>
  <c r="G22" i="38"/>
  <c r="AF22" i="38" s="1"/>
  <c r="G57" i="37"/>
  <c r="AF57" i="37" s="1"/>
  <c r="G12" i="37"/>
  <c r="AF12" i="37" s="1"/>
  <c r="G6" i="37"/>
  <c r="AF6" i="37" s="1"/>
  <c r="G14" i="37"/>
  <c r="AF14" i="37" s="1"/>
  <c r="G51" i="37"/>
  <c r="AF51" i="37" s="1"/>
  <c r="G62" i="36"/>
  <c r="AF62" i="36" s="1"/>
  <c r="G30" i="36"/>
  <c r="AF30" i="36" s="1"/>
  <c r="G58" i="36"/>
  <c r="AF58" i="36" s="1"/>
  <c r="G72" i="36"/>
  <c r="AF72" i="36" s="1"/>
  <c r="G19" i="36"/>
  <c r="AF19" i="36" s="1"/>
  <c r="G27" i="38"/>
  <c r="AF27" i="38" s="1"/>
  <c r="G59" i="38"/>
  <c r="AF59" i="38" s="1"/>
  <c r="G60" i="37"/>
  <c r="AF60" i="37" s="1"/>
  <c r="G61" i="36"/>
  <c r="AF61" i="36" s="1"/>
  <c r="G53" i="36"/>
  <c r="AF53" i="36" s="1"/>
  <c r="G76" i="38"/>
  <c r="AF76" i="38" s="1"/>
  <c r="G65" i="38"/>
  <c r="AF65" i="38" s="1"/>
  <c r="G53" i="38"/>
  <c r="AF53" i="38" s="1"/>
  <c r="G20" i="38"/>
  <c r="AF20" i="38" s="1"/>
  <c r="G80" i="38"/>
  <c r="AF80" i="38" s="1"/>
  <c r="G18" i="38"/>
  <c r="AF18" i="38" s="1"/>
  <c r="G19" i="37"/>
  <c r="AF19" i="37" s="1"/>
  <c r="G26" i="37"/>
  <c r="AF26" i="37" s="1"/>
  <c r="G7" i="37"/>
  <c r="AF7" i="37" s="1"/>
  <c r="G17" i="37"/>
  <c r="AF17" i="37" s="1"/>
  <c r="G21" i="37"/>
  <c r="AF21" i="37" s="1"/>
  <c r="G69" i="38"/>
  <c r="AF69" i="38" s="1"/>
  <c r="G31" i="38"/>
  <c r="AF31" i="38" s="1"/>
  <c r="G73" i="38"/>
  <c r="AF73" i="38" s="1"/>
  <c r="G25" i="38"/>
  <c r="AF25" i="38" s="1"/>
  <c r="G71" i="38"/>
  <c r="AF71" i="38" s="1"/>
  <c r="G52" i="38"/>
  <c r="AF52" i="38" s="1"/>
  <c r="G72" i="38"/>
  <c r="AF72" i="38" s="1"/>
  <c r="G16" i="38"/>
  <c r="AF16" i="38" s="1"/>
  <c r="G66" i="38"/>
  <c r="AF66" i="38" s="1"/>
  <c r="G34" i="38"/>
  <c r="AF34" i="38" s="1"/>
  <c r="E36" i="40"/>
  <c r="E37" i="40" s="1"/>
  <c r="G38" i="38"/>
  <c r="AF38" i="38" s="1"/>
  <c r="G43" i="37"/>
  <c r="AF43" i="37" s="1"/>
  <c r="G75" i="37"/>
  <c r="AF75" i="37" s="1"/>
  <c r="G69" i="37"/>
  <c r="AF69" i="37" s="1"/>
  <c r="G77" i="37"/>
  <c r="AF77" i="37" s="1"/>
  <c r="G40" i="36"/>
  <c r="AF40" i="36" s="1"/>
  <c r="G81" i="37"/>
  <c r="AF81" i="37" s="1"/>
  <c r="G22" i="37"/>
  <c r="AF22" i="37" s="1"/>
  <c r="G47" i="37"/>
  <c r="AF47" i="37" s="1"/>
  <c r="G56" i="37"/>
  <c r="AF56" i="37" s="1"/>
  <c r="G4" i="37"/>
  <c r="AF4" i="37" s="1"/>
  <c r="G80" i="36"/>
  <c r="AF80" i="36" s="1"/>
  <c r="G26" i="36"/>
  <c r="AF26" i="36" s="1"/>
  <c r="G43" i="36"/>
  <c r="AF43" i="36" s="1"/>
  <c r="G36" i="36"/>
  <c r="AF36" i="36" s="1"/>
  <c r="G55" i="36"/>
  <c r="AF55" i="36" s="1"/>
  <c r="G14" i="36"/>
  <c r="AF14" i="36" s="1"/>
  <c r="G70" i="36"/>
  <c r="AF70" i="36" s="1"/>
  <c r="G33" i="36"/>
  <c r="AF33" i="36" s="1"/>
  <c r="G35" i="36"/>
  <c r="AF35" i="36" s="1"/>
  <c r="G52" i="36"/>
  <c r="AF52" i="36" s="1"/>
  <c r="G20" i="36"/>
  <c r="AF20" i="36" s="1"/>
  <c r="G47" i="38"/>
  <c r="AF47" i="38" s="1"/>
  <c r="G71" i="37"/>
  <c r="AF71" i="37" s="1"/>
  <c r="G80" i="37"/>
  <c r="AF80" i="37" s="1"/>
  <c r="G53" i="37"/>
  <c r="AF53" i="37" s="1"/>
  <c r="G15" i="37"/>
  <c r="AF15" i="37" s="1"/>
  <c r="G38" i="37"/>
  <c r="AF38" i="37" s="1"/>
  <c r="G74" i="36"/>
  <c r="AF74" i="36" s="1"/>
  <c r="G16" i="36"/>
  <c r="AF16" i="36" s="1"/>
  <c r="G63" i="36"/>
  <c r="AF63" i="36" s="1"/>
  <c r="G17" i="36"/>
  <c r="AF17" i="36" s="1"/>
  <c r="G77" i="36"/>
  <c r="AF77" i="36" s="1"/>
  <c r="G46" i="38"/>
  <c r="AF46" i="38" s="1"/>
  <c r="G40" i="38"/>
  <c r="AF40" i="38" s="1"/>
  <c r="G9" i="37"/>
  <c r="AF9" i="37" s="1"/>
  <c r="G42" i="36"/>
  <c r="AF42" i="36" s="1"/>
  <c r="G60" i="36"/>
  <c r="AF60" i="36" s="1"/>
  <c r="G11" i="38"/>
  <c r="AF11" i="38" s="1"/>
  <c r="G70" i="38"/>
  <c r="AF70" i="38" s="1"/>
  <c r="G23" i="38"/>
  <c r="AF23" i="38" s="1"/>
  <c r="G48" i="38"/>
  <c r="AF48" i="38" s="1"/>
  <c r="G41" i="38"/>
  <c r="AF41" i="38" s="1"/>
  <c r="G4" i="38"/>
  <c r="AF4" i="38" s="1"/>
  <c r="G31" i="37"/>
  <c r="AF31" i="37" s="1"/>
  <c r="G25" i="37"/>
  <c r="AF25" i="37" s="1"/>
  <c r="G29" i="37"/>
  <c r="AF29" i="37" s="1"/>
  <c r="G39" i="37"/>
  <c r="AF39" i="37" s="1"/>
  <c r="G66" i="37"/>
  <c r="AF66" i="37" s="1"/>
  <c r="G13" i="38"/>
  <c r="AF13" i="38" s="1"/>
  <c r="G32" i="38"/>
  <c r="AF32" i="38" s="1"/>
  <c r="G49" i="38"/>
  <c r="AF49" i="38" s="1"/>
  <c r="G6" i="38"/>
  <c r="AF6" i="38" s="1"/>
  <c r="G61" i="38"/>
  <c r="AF61" i="38" s="1"/>
  <c r="G12" i="38"/>
  <c r="AF12" i="38" s="1"/>
  <c r="G50" i="38"/>
  <c r="AF50" i="38" s="1"/>
  <c r="G33" i="38"/>
  <c r="AF33" i="38" s="1"/>
  <c r="G75" i="38"/>
  <c r="AF75" i="38" s="1"/>
  <c r="G42" i="38"/>
  <c r="AF42" i="38" s="1"/>
  <c r="G48" i="37"/>
  <c r="AF48" i="37" s="1"/>
  <c r="G37" i="37"/>
  <c r="AF37" i="37" s="1"/>
  <c r="G68" i="37"/>
  <c r="AF68" i="37" s="1"/>
  <c r="G76" i="37"/>
  <c r="AF76" i="37" s="1"/>
  <c r="G36" i="37"/>
  <c r="AF36" i="37" s="1"/>
  <c r="G25" i="36"/>
  <c r="AF25" i="36" s="1"/>
  <c r="G75" i="36"/>
  <c r="AF75" i="36" s="1"/>
  <c r="G83" i="36"/>
  <c r="AF83" i="36" s="1"/>
  <c r="G54" i="36"/>
  <c r="AF54" i="36" s="1"/>
  <c r="G67" i="36"/>
  <c r="AF67" i="36" s="1"/>
  <c r="G113" i="18"/>
  <c r="G47" i="17" s="1"/>
  <c r="G48" i="17" s="1"/>
  <c r="F47" i="17"/>
  <c r="F48" i="17" s="1"/>
  <c r="G112" i="33"/>
  <c r="G18" i="34" s="1"/>
  <c r="G19" i="34" s="1"/>
  <c r="F18" i="34"/>
  <c r="F19" i="34" s="1"/>
  <c r="G16" i="37"/>
  <c r="AF16" i="37" s="1"/>
  <c r="G79" i="37"/>
  <c r="AF79" i="37" s="1"/>
  <c r="G54" i="37"/>
  <c r="AF54" i="37" s="1"/>
  <c r="G13" i="37"/>
  <c r="AF13" i="37" s="1"/>
  <c r="G32" i="37"/>
  <c r="AF32" i="37" s="1"/>
  <c r="G45" i="36"/>
  <c r="AF45" i="36" s="1"/>
  <c r="G49" i="36"/>
  <c r="AF49" i="36" s="1"/>
  <c r="G23" i="36"/>
  <c r="AF23" i="36" s="1"/>
  <c r="G34" i="36"/>
  <c r="AF34" i="36" s="1"/>
  <c r="G73" i="36"/>
  <c r="AF73" i="36" s="1"/>
  <c r="G9" i="36"/>
  <c r="AF9" i="36" s="1"/>
  <c r="G84" i="36"/>
  <c r="AF84" i="36" s="1"/>
  <c r="G22" i="36"/>
  <c r="AF22" i="36" s="1"/>
  <c r="G15" i="36"/>
  <c r="AF15" i="36" s="1"/>
  <c r="G38" i="36"/>
  <c r="AF38" i="36" s="1"/>
  <c r="G51" i="38"/>
  <c r="AF51" i="38" s="1"/>
  <c r="G15" i="38"/>
  <c r="AF15" i="38" s="1"/>
  <c r="G112" i="42"/>
  <c r="G18" i="40" s="1"/>
  <c r="G19" i="40" s="1"/>
  <c r="F18" i="40"/>
  <c r="F19" i="40" s="1"/>
  <c r="G61" i="37"/>
  <c r="AF61" i="37" s="1"/>
  <c r="G74" i="37"/>
  <c r="AF74" i="37" s="1"/>
  <c r="G30" i="37"/>
  <c r="AF30" i="37" s="1"/>
  <c r="G34" i="37"/>
  <c r="AF34" i="37" s="1"/>
  <c r="G55" i="37"/>
  <c r="AF55" i="37" s="1"/>
  <c r="G48" i="36"/>
  <c r="AF48" i="36" s="1"/>
  <c r="G31" i="36"/>
  <c r="AF31" i="36" s="1"/>
  <c r="G7" i="36"/>
  <c r="AF7" i="36" s="1"/>
  <c r="G12" i="36"/>
  <c r="AF12" i="36" s="1"/>
  <c r="G69" i="36"/>
  <c r="AF69" i="36" s="1"/>
  <c r="G82" i="38"/>
  <c r="AF82" i="38" s="1"/>
  <c r="G37" i="38"/>
  <c r="AF37" i="38" s="1"/>
  <c r="G51" i="36"/>
  <c r="AF51" i="36" s="1"/>
  <c r="G41" i="36"/>
  <c r="AF41" i="36" s="1"/>
  <c r="G29" i="38"/>
  <c r="AF29" i="38" s="1"/>
  <c r="G5" i="38"/>
  <c r="AF5" i="38" s="1"/>
  <c r="G84" i="38"/>
  <c r="AF84" i="38" s="1"/>
  <c r="G67" i="38"/>
  <c r="AF67" i="38" s="1"/>
  <c r="G26" i="38"/>
  <c r="AF26" i="38" s="1"/>
  <c r="G81" i="38"/>
  <c r="AF81" i="38" s="1"/>
  <c r="G50" i="37"/>
  <c r="AF50" i="37" s="1"/>
  <c r="G33" i="37"/>
  <c r="AF33" i="37" s="1"/>
  <c r="G20" i="37"/>
  <c r="AF20" i="37" s="1"/>
  <c r="G27" i="37"/>
  <c r="AF27" i="37" s="1"/>
  <c r="G73" i="37"/>
  <c r="AF73" i="37" s="1"/>
  <c r="G30" i="38"/>
  <c r="AF30" i="38" s="1"/>
  <c r="G36" i="38"/>
  <c r="AF36" i="38" s="1"/>
  <c r="G8" i="38"/>
  <c r="AF8" i="38" s="1"/>
  <c r="G58" i="38"/>
  <c r="AF58" i="38" s="1"/>
  <c r="G77" i="38"/>
  <c r="AF77" i="38" s="1"/>
  <c r="G78" i="38"/>
  <c r="AF78" i="38" s="1"/>
  <c r="G45" i="38"/>
  <c r="AF45" i="38" s="1"/>
  <c r="G60" i="38"/>
  <c r="AF60" i="38" s="1"/>
  <c r="G7" i="38"/>
  <c r="AF7" i="38" s="1"/>
  <c r="G55" i="38"/>
  <c r="AF55" i="38" s="1"/>
  <c r="G11" i="37"/>
  <c r="AF11" i="37" s="1"/>
  <c r="G64" i="37"/>
  <c r="AF64" i="37" s="1"/>
  <c r="G62" i="37"/>
  <c r="AF62" i="37" s="1"/>
  <c r="G70" i="37"/>
  <c r="AF70" i="37" s="1"/>
  <c r="G23" i="37"/>
  <c r="AF23" i="37" s="1"/>
  <c r="G82" i="36"/>
  <c r="AF82" i="36" s="1"/>
  <c r="H57" i="26"/>
  <c r="AG57" i="26" s="1"/>
  <c r="H10" i="26"/>
  <c r="AG10" i="26" s="1"/>
  <c r="H39" i="26"/>
  <c r="AG39" i="26" s="1"/>
  <c r="H33" i="26"/>
  <c r="AG33" i="26" s="1"/>
  <c r="H80" i="26"/>
  <c r="AG80" i="26" s="1"/>
  <c r="H22" i="26"/>
  <c r="AG22" i="26" s="1"/>
  <c r="H69" i="26"/>
  <c r="AG69" i="26" s="1"/>
  <c r="H67" i="26"/>
  <c r="AG67" i="26" s="1"/>
  <c r="H30" i="26"/>
  <c r="AG30" i="26" s="1"/>
  <c r="H70" i="26"/>
  <c r="AG70" i="26" s="1"/>
  <c r="H78" i="26"/>
  <c r="AG78" i="26" s="1"/>
  <c r="H42" i="26"/>
  <c r="AG42" i="26" s="1"/>
  <c r="H83" i="26"/>
  <c r="AG83" i="26" s="1"/>
  <c r="H48" i="26"/>
  <c r="AG48" i="26" s="1"/>
  <c r="H17" i="26"/>
  <c r="AG17" i="26" s="1"/>
  <c r="H74" i="26"/>
  <c r="AG74" i="26" s="1"/>
  <c r="H53" i="26"/>
  <c r="AG53" i="26" s="1"/>
  <c r="H51" i="26"/>
  <c r="AG51" i="26" s="1"/>
  <c r="H11" i="26"/>
  <c r="AG11" i="26" s="1"/>
  <c r="H58" i="26"/>
  <c r="AG58" i="26" s="1"/>
  <c r="H41" i="26"/>
  <c r="AG41" i="26" s="1"/>
  <c r="H28" i="26"/>
  <c r="AG28" i="26" s="1"/>
  <c r="H66" i="26"/>
  <c r="AG66" i="26" s="1"/>
  <c r="H68" i="26"/>
  <c r="AG68" i="26" s="1"/>
  <c r="H31" i="26"/>
  <c r="AG31" i="26" s="1"/>
  <c r="H52" i="26"/>
  <c r="AG52" i="26" s="1"/>
  <c r="H32" i="26"/>
  <c r="AG32" i="26" s="1"/>
  <c r="H79" i="26"/>
  <c r="AG79" i="26" s="1"/>
  <c r="H47" i="26"/>
  <c r="AG47" i="26" s="1"/>
  <c r="H73" i="26"/>
  <c r="AG73" i="26" s="1"/>
  <c r="H82" i="26"/>
  <c r="AG82" i="26" s="1"/>
  <c r="H37" i="26"/>
  <c r="AG37" i="26" s="1"/>
  <c r="H18" i="26"/>
  <c r="AG18" i="26" s="1"/>
  <c r="H45" i="26"/>
  <c r="AG45" i="26" s="1"/>
  <c r="H7" i="26"/>
  <c r="AG7" i="26" s="1"/>
  <c r="H60" i="26"/>
  <c r="AG60" i="26" s="1"/>
  <c r="H9" i="26"/>
  <c r="AG9" i="26" s="1"/>
  <c r="H15" i="26"/>
  <c r="AG15" i="26" s="1"/>
  <c r="H40" i="26"/>
  <c r="AG40" i="26" s="1"/>
  <c r="H84" i="26"/>
  <c r="AG84" i="26" s="1"/>
  <c r="H64" i="26"/>
  <c r="AG64" i="26" s="1"/>
  <c r="H24" i="26"/>
  <c r="AG24" i="26" s="1"/>
  <c r="H26" i="26"/>
  <c r="AG26" i="26" s="1"/>
  <c r="H55" i="26"/>
  <c r="AG55" i="26" s="1"/>
  <c r="H16" i="26"/>
  <c r="AG16" i="26" s="1"/>
  <c r="H61" i="26"/>
  <c r="AG61" i="26" s="1"/>
  <c r="H6" i="26"/>
  <c r="AG6" i="26" s="1"/>
  <c r="H63" i="26"/>
  <c r="AG63" i="26" s="1"/>
  <c r="H44" i="26"/>
  <c r="AG44" i="26" s="1"/>
  <c r="H14" i="26"/>
  <c r="AG14" i="26" s="1"/>
  <c r="H12" i="26"/>
  <c r="AG12" i="26" s="1"/>
  <c r="H56" i="26"/>
  <c r="AG56" i="26" s="1"/>
  <c r="H23" i="26"/>
  <c r="AG23" i="26" s="1"/>
  <c r="H71" i="26"/>
  <c r="AG71" i="26" s="1"/>
  <c r="H34" i="26"/>
  <c r="AG34" i="26" s="1"/>
  <c r="H77" i="26"/>
  <c r="AG77" i="26" s="1"/>
  <c r="H72" i="26"/>
  <c r="AG72" i="26" s="1"/>
  <c r="H50" i="26"/>
  <c r="AG50" i="26" s="1"/>
  <c r="H29" i="26"/>
  <c r="AG29" i="26" s="1"/>
  <c r="H76" i="26"/>
  <c r="AG76" i="26" s="1"/>
  <c r="H81" i="26"/>
  <c r="AG81" i="26" s="1"/>
  <c r="H21" i="26"/>
  <c r="AG21" i="26" s="1"/>
  <c r="H75" i="26"/>
  <c r="AG75" i="26" s="1"/>
  <c r="H5" i="26"/>
  <c r="AG5" i="26" s="1"/>
  <c r="H49" i="26"/>
  <c r="AG49" i="26" s="1"/>
  <c r="H59" i="26"/>
  <c r="AG59" i="26" s="1"/>
  <c r="H38" i="26"/>
  <c r="AG38" i="26" s="1"/>
  <c r="H13" i="26"/>
  <c r="AG13" i="26" s="1"/>
  <c r="H43" i="26"/>
  <c r="AG43" i="26" s="1"/>
  <c r="H25" i="26"/>
  <c r="AG25" i="26" s="1"/>
  <c r="H36" i="26"/>
  <c r="AG36" i="26" s="1"/>
  <c r="H46" i="26"/>
  <c r="AG46" i="26" s="1"/>
  <c r="H19" i="26"/>
  <c r="AG19" i="26" s="1"/>
  <c r="H62" i="26"/>
  <c r="AG62" i="26" s="1"/>
  <c r="H8" i="26"/>
  <c r="AG8" i="26" s="1"/>
  <c r="H20" i="26"/>
  <c r="AG20" i="26" s="1"/>
  <c r="H35" i="26"/>
  <c r="AG35" i="26" s="1"/>
  <c r="H54" i="26"/>
  <c r="AG54" i="26" s="1"/>
  <c r="H65" i="26"/>
  <c r="AG65" i="26" s="1"/>
  <c r="H4" i="26"/>
  <c r="AG4" i="26" s="1"/>
  <c r="H27" i="26"/>
  <c r="AG27" i="26" s="1"/>
  <c r="E52" i="17"/>
  <c r="F52" i="17"/>
  <c r="D13" i="17"/>
  <c r="C13" i="17"/>
  <c r="G13" i="17"/>
  <c r="G113" i="33" l="1"/>
  <c r="G47" i="34" s="1"/>
  <c r="G48" i="34" s="1"/>
  <c r="F47" i="34"/>
  <c r="F48" i="34" s="1"/>
  <c r="G113" i="41"/>
  <c r="G47" i="39" s="1"/>
  <c r="G48" i="39" s="1"/>
  <c r="F47" i="39"/>
  <c r="F48" i="39" s="1"/>
  <c r="G113" i="42"/>
  <c r="G47" i="40" s="1"/>
  <c r="G48" i="40" s="1"/>
  <c r="F47" i="40"/>
  <c r="F48" i="40" s="1"/>
  <c r="H33" i="30"/>
  <c r="AG33" i="30" s="1"/>
  <c r="AF33" i="30"/>
  <c r="H50" i="30"/>
  <c r="AG50" i="30" s="1"/>
  <c r="AF50" i="30"/>
  <c r="H4" i="32"/>
  <c r="AG4" i="32" s="1"/>
  <c r="AF4" i="32"/>
  <c r="H7" i="31"/>
  <c r="AG7" i="31" s="1"/>
  <c r="AF7" i="31"/>
  <c r="H18" i="31"/>
  <c r="AG18" i="31" s="1"/>
  <c r="AF18" i="31"/>
  <c r="H9" i="31"/>
  <c r="AG9" i="31" s="1"/>
  <c r="AF9" i="31"/>
  <c r="H64" i="32"/>
  <c r="AG64" i="32" s="1"/>
  <c r="AF64" i="32"/>
  <c r="H78" i="32"/>
  <c r="AG78" i="32" s="1"/>
  <c r="AF78" i="32"/>
  <c r="H46" i="32"/>
  <c r="AG46" i="32" s="1"/>
  <c r="AF46" i="32"/>
  <c r="H42" i="31"/>
  <c r="AG42" i="31" s="1"/>
  <c r="AF42" i="31"/>
  <c r="H40" i="30"/>
  <c r="AG40" i="30" s="1"/>
  <c r="AF40" i="30"/>
  <c r="H66" i="30"/>
  <c r="AG66" i="30" s="1"/>
  <c r="AF66" i="30"/>
  <c r="H36" i="30"/>
  <c r="AG36" i="30" s="1"/>
  <c r="AF36" i="30"/>
  <c r="H9" i="30"/>
  <c r="AG9" i="30" s="1"/>
  <c r="AF9" i="30"/>
  <c r="H28" i="30"/>
  <c r="AG28" i="30" s="1"/>
  <c r="AF28" i="30"/>
  <c r="H10" i="32"/>
  <c r="AG10" i="32" s="1"/>
  <c r="AF10" i="32"/>
  <c r="H59" i="31"/>
  <c r="AG59" i="31" s="1"/>
  <c r="AF59" i="31"/>
  <c r="H8" i="32"/>
  <c r="AG8" i="32" s="1"/>
  <c r="AF8" i="32"/>
  <c r="H23" i="31"/>
  <c r="AG23" i="31" s="1"/>
  <c r="AF23" i="31"/>
  <c r="H75" i="31"/>
  <c r="AG75" i="31" s="1"/>
  <c r="AF75" i="31"/>
  <c r="H21" i="32"/>
  <c r="AG21" i="32" s="1"/>
  <c r="AF21" i="32"/>
  <c r="H81" i="32"/>
  <c r="AG81" i="32" s="1"/>
  <c r="AF81" i="32"/>
  <c r="H40" i="32"/>
  <c r="AG40" i="32" s="1"/>
  <c r="AF40" i="32"/>
  <c r="H43" i="31"/>
  <c r="AG43" i="31" s="1"/>
  <c r="AF43" i="31"/>
  <c r="H83" i="31"/>
  <c r="AG83" i="31" s="1"/>
  <c r="AF83" i="31"/>
  <c r="H38" i="30"/>
  <c r="AG38" i="30" s="1"/>
  <c r="AF38" i="30"/>
  <c r="H81" i="30"/>
  <c r="AG81" i="30" s="1"/>
  <c r="AF81" i="30"/>
  <c r="H30" i="30"/>
  <c r="AG30" i="30" s="1"/>
  <c r="AF30" i="30"/>
  <c r="H29" i="30"/>
  <c r="AG29" i="30" s="1"/>
  <c r="AF29" i="30"/>
  <c r="H55" i="30"/>
  <c r="AG55" i="30" s="1"/>
  <c r="AF55" i="30"/>
  <c r="H64" i="30"/>
  <c r="AG64" i="30" s="1"/>
  <c r="AF64" i="30"/>
  <c r="H29" i="32"/>
  <c r="AG29" i="32" s="1"/>
  <c r="AF29" i="32"/>
  <c r="H11" i="32"/>
  <c r="AG11" i="32" s="1"/>
  <c r="AF11" i="32"/>
  <c r="H16" i="32"/>
  <c r="AG16" i="32" s="1"/>
  <c r="AF16" i="32"/>
  <c r="H24" i="31"/>
  <c r="AG24" i="31" s="1"/>
  <c r="AF24" i="31"/>
  <c r="H80" i="31"/>
  <c r="AG80" i="31" s="1"/>
  <c r="AF80" i="31"/>
  <c r="H43" i="32"/>
  <c r="AG43" i="32" s="1"/>
  <c r="AF43" i="32"/>
  <c r="H80" i="32"/>
  <c r="AG80" i="32" s="1"/>
  <c r="AF80" i="32"/>
  <c r="H14" i="31"/>
  <c r="AG14" i="31" s="1"/>
  <c r="AF14" i="31"/>
  <c r="H12" i="31"/>
  <c r="AG12" i="31" s="1"/>
  <c r="AF12" i="31"/>
  <c r="H21" i="31"/>
  <c r="AG21" i="31" s="1"/>
  <c r="AF21" i="31"/>
  <c r="H18" i="30"/>
  <c r="AG18" i="30" s="1"/>
  <c r="AF18" i="30"/>
  <c r="H22" i="30"/>
  <c r="AG22" i="30" s="1"/>
  <c r="AF22" i="30"/>
  <c r="H34" i="30"/>
  <c r="AG34" i="30" s="1"/>
  <c r="AF34" i="30"/>
  <c r="H78" i="30"/>
  <c r="AG78" i="30" s="1"/>
  <c r="AF78" i="30"/>
  <c r="H24" i="30"/>
  <c r="AG24" i="30" s="1"/>
  <c r="AF24" i="30"/>
  <c r="H6" i="30"/>
  <c r="AG6" i="30" s="1"/>
  <c r="AF6" i="30"/>
  <c r="H25" i="32"/>
  <c r="AG25" i="32" s="1"/>
  <c r="AF25" i="32"/>
  <c r="H66" i="32"/>
  <c r="AG66" i="32" s="1"/>
  <c r="AF66" i="32"/>
  <c r="H5" i="32"/>
  <c r="AG5" i="32" s="1"/>
  <c r="AF5" i="32"/>
  <c r="H41" i="31"/>
  <c r="AG41" i="31" s="1"/>
  <c r="AF41" i="31"/>
  <c r="H66" i="31"/>
  <c r="AG66" i="31" s="1"/>
  <c r="AF66" i="31"/>
  <c r="H18" i="32"/>
  <c r="AG18" i="32" s="1"/>
  <c r="AF18" i="32"/>
  <c r="H47" i="32"/>
  <c r="AG47" i="32" s="1"/>
  <c r="AF47" i="32"/>
  <c r="H14" i="32"/>
  <c r="AG14" i="32" s="1"/>
  <c r="AF14" i="32"/>
  <c r="H72" i="31"/>
  <c r="AG72" i="31" s="1"/>
  <c r="AF72" i="31"/>
  <c r="H38" i="31"/>
  <c r="AG38" i="31" s="1"/>
  <c r="AF38" i="31"/>
  <c r="H60" i="30"/>
  <c r="AG60" i="30" s="1"/>
  <c r="AF60" i="30"/>
  <c r="H8" i="30"/>
  <c r="AG8" i="30" s="1"/>
  <c r="AF8" i="30"/>
  <c r="H84" i="32"/>
  <c r="AG84" i="32" s="1"/>
  <c r="AF84" i="32"/>
  <c r="H22" i="31"/>
  <c r="AG22" i="31" s="1"/>
  <c r="AF22" i="31"/>
  <c r="H48" i="32"/>
  <c r="AG48" i="32" s="1"/>
  <c r="AF48" i="32"/>
  <c r="H42" i="32"/>
  <c r="AG42" i="32" s="1"/>
  <c r="AF42" i="32"/>
  <c r="H32" i="30"/>
  <c r="AG32" i="30" s="1"/>
  <c r="AF32" i="30"/>
  <c r="H49" i="32"/>
  <c r="AG49" i="32" s="1"/>
  <c r="AF49" i="32"/>
  <c r="H58" i="32"/>
  <c r="AG58" i="32" s="1"/>
  <c r="AF58" i="32"/>
  <c r="H23" i="32"/>
  <c r="AG23" i="32" s="1"/>
  <c r="AF23" i="32"/>
  <c r="H13" i="31"/>
  <c r="AG13" i="31" s="1"/>
  <c r="AF13" i="31"/>
  <c r="H8" i="31"/>
  <c r="AG8" i="31" s="1"/>
  <c r="AF8" i="31"/>
  <c r="H79" i="32"/>
  <c r="AG79" i="32" s="1"/>
  <c r="AF79" i="32"/>
  <c r="H15" i="32"/>
  <c r="AG15" i="32" s="1"/>
  <c r="AF15" i="32"/>
  <c r="H11" i="31"/>
  <c r="AG11" i="31" s="1"/>
  <c r="AF11" i="31"/>
  <c r="H82" i="30"/>
  <c r="AG82" i="30" s="1"/>
  <c r="AF82" i="30"/>
  <c r="H27" i="30"/>
  <c r="AG27" i="30" s="1"/>
  <c r="AF27" i="30"/>
  <c r="H47" i="30"/>
  <c r="AG47" i="30" s="1"/>
  <c r="AF47" i="30"/>
  <c r="H75" i="30"/>
  <c r="AG75" i="30" s="1"/>
  <c r="AF75" i="30"/>
  <c r="H83" i="30"/>
  <c r="AG83" i="30" s="1"/>
  <c r="AF83" i="30"/>
  <c r="H21" i="30"/>
  <c r="AG21" i="30" s="1"/>
  <c r="AF21" i="30"/>
  <c r="H32" i="32"/>
  <c r="AG32" i="32" s="1"/>
  <c r="AF32" i="32"/>
  <c r="H45" i="32"/>
  <c r="AG45" i="32" s="1"/>
  <c r="AF45" i="32"/>
  <c r="H31" i="31"/>
  <c r="AG31" i="31" s="1"/>
  <c r="AF31" i="31"/>
  <c r="H36" i="31"/>
  <c r="AG36" i="31" s="1"/>
  <c r="AF36" i="31"/>
  <c r="H15" i="31"/>
  <c r="AG15" i="31" s="1"/>
  <c r="AF15" i="31"/>
  <c r="H36" i="32"/>
  <c r="AG36" i="32" s="1"/>
  <c r="AF36" i="32"/>
  <c r="H19" i="32"/>
  <c r="AG19" i="32" s="1"/>
  <c r="AF19" i="32"/>
  <c r="H28" i="31"/>
  <c r="AG28" i="31" s="1"/>
  <c r="AF28" i="31"/>
  <c r="H50" i="31"/>
  <c r="AG50" i="31" s="1"/>
  <c r="AF50" i="31"/>
  <c r="H51" i="31"/>
  <c r="AG51" i="31" s="1"/>
  <c r="AF51" i="31"/>
  <c r="H26" i="30"/>
  <c r="AG26" i="30" s="1"/>
  <c r="AF26" i="30"/>
  <c r="H12" i="30"/>
  <c r="AG12" i="30" s="1"/>
  <c r="AF12" i="30"/>
  <c r="H7" i="30"/>
  <c r="AG7" i="30" s="1"/>
  <c r="AF7" i="30"/>
  <c r="H11" i="30"/>
  <c r="AG11" i="30" s="1"/>
  <c r="AF11" i="30"/>
  <c r="H35" i="30"/>
  <c r="AG35" i="30" s="1"/>
  <c r="AF35" i="30"/>
  <c r="H4" i="30"/>
  <c r="AG4" i="30" s="1"/>
  <c r="AF4" i="30"/>
  <c r="H51" i="32"/>
  <c r="AG51" i="32" s="1"/>
  <c r="AF51" i="32"/>
  <c r="H76" i="32"/>
  <c r="AG76" i="32" s="1"/>
  <c r="AF76" i="32"/>
  <c r="H35" i="31"/>
  <c r="AG35" i="31" s="1"/>
  <c r="AF35" i="31"/>
  <c r="H47" i="31"/>
  <c r="AG47" i="31" s="1"/>
  <c r="AF47" i="31"/>
  <c r="H33" i="31"/>
  <c r="AG33" i="31" s="1"/>
  <c r="AF33" i="31"/>
  <c r="H26" i="32"/>
  <c r="AG26" i="32" s="1"/>
  <c r="AF26" i="32"/>
  <c r="H61" i="32"/>
  <c r="AG61" i="32" s="1"/>
  <c r="AF61" i="32"/>
  <c r="H29" i="31"/>
  <c r="AG29" i="31" s="1"/>
  <c r="AF29" i="31"/>
  <c r="H60" i="31"/>
  <c r="AG60" i="31" s="1"/>
  <c r="AF60" i="31"/>
  <c r="H45" i="31"/>
  <c r="AG45" i="31" s="1"/>
  <c r="AF45" i="31"/>
  <c r="H46" i="30"/>
  <c r="AG46" i="30" s="1"/>
  <c r="AF46" i="30"/>
  <c r="H52" i="30"/>
  <c r="AG52" i="30" s="1"/>
  <c r="AF52" i="30"/>
  <c r="H41" i="30"/>
  <c r="AG41" i="30" s="1"/>
  <c r="AF41" i="30"/>
  <c r="H44" i="30"/>
  <c r="AG44" i="30" s="1"/>
  <c r="AF44" i="30"/>
  <c r="H5" i="31"/>
  <c r="AG5" i="31" s="1"/>
  <c r="AF5" i="31"/>
  <c r="H17" i="32"/>
  <c r="AG17" i="32" s="1"/>
  <c r="AF17" i="32"/>
  <c r="H71" i="31"/>
  <c r="AG71" i="31" s="1"/>
  <c r="AF71" i="31"/>
  <c r="H52" i="31"/>
  <c r="AG52" i="31" s="1"/>
  <c r="AF52" i="31"/>
  <c r="H5" i="30"/>
  <c r="AG5" i="30" s="1"/>
  <c r="AF5" i="30"/>
  <c r="H48" i="30"/>
  <c r="AG48" i="30" s="1"/>
  <c r="AF48" i="30"/>
  <c r="H12" i="32"/>
  <c r="AG12" i="32" s="1"/>
  <c r="AF12" i="32"/>
  <c r="H40" i="31"/>
  <c r="AG40" i="31" s="1"/>
  <c r="AF40" i="31"/>
  <c r="H68" i="31"/>
  <c r="AG68" i="31" s="1"/>
  <c r="AF68" i="31"/>
  <c r="H59" i="30"/>
  <c r="AG59" i="30" s="1"/>
  <c r="AF59" i="30"/>
  <c r="H57" i="32"/>
  <c r="AG57" i="32" s="1"/>
  <c r="AF57" i="32"/>
  <c r="AF63" i="32"/>
  <c r="H63" i="32"/>
  <c r="AG63" i="32" s="1"/>
  <c r="H53" i="30"/>
  <c r="AG53" i="30" s="1"/>
  <c r="AF53" i="30"/>
  <c r="H62" i="30"/>
  <c r="AG62" i="30" s="1"/>
  <c r="AF62" i="30"/>
  <c r="H17" i="30"/>
  <c r="AG17" i="30" s="1"/>
  <c r="AF17" i="30"/>
  <c r="H65" i="30"/>
  <c r="AG65" i="30" s="1"/>
  <c r="AF65" i="30"/>
  <c r="H41" i="32"/>
  <c r="AG41" i="32" s="1"/>
  <c r="AF41" i="32"/>
  <c r="H71" i="32"/>
  <c r="AG71" i="32" s="1"/>
  <c r="AF71" i="32"/>
  <c r="H68" i="32"/>
  <c r="AG68" i="32" s="1"/>
  <c r="AF68" i="32"/>
  <c r="H16" i="31"/>
  <c r="AG16" i="31" s="1"/>
  <c r="AF16" i="31"/>
  <c r="H34" i="31"/>
  <c r="AG34" i="31" s="1"/>
  <c r="AF34" i="31"/>
  <c r="H63" i="31"/>
  <c r="AG63" i="31" s="1"/>
  <c r="AF63" i="31"/>
  <c r="H74" i="32"/>
  <c r="AG74" i="32" s="1"/>
  <c r="AF74" i="32"/>
  <c r="H55" i="32"/>
  <c r="AG55" i="32" s="1"/>
  <c r="AF55" i="32"/>
  <c r="H17" i="31"/>
  <c r="AG17" i="31" s="1"/>
  <c r="AF17" i="31"/>
  <c r="H61" i="31"/>
  <c r="AG61" i="31" s="1"/>
  <c r="AF61" i="31"/>
  <c r="H37" i="31"/>
  <c r="AG37" i="31" s="1"/>
  <c r="AF37" i="31"/>
  <c r="H76" i="30"/>
  <c r="AG76" i="30" s="1"/>
  <c r="AF76" i="30"/>
  <c r="H56" i="30"/>
  <c r="AG56" i="30" s="1"/>
  <c r="AF56" i="30"/>
  <c r="H39" i="30"/>
  <c r="AG39" i="30" s="1"/>
  <c r="AF39" i="30"/>
  <c r="H61" i="30"/>
  <c r="AG61" i="30" s="1"/>
  <c r="AF61" i="30"/>
  <c r="H57" i="30"/>
  <c r="AG57" i="30" s="1"/>
  <c r="AF57" i="30"/>
  <c r="H30" i="32"/>
  <c r="AG30" i="32" s="1"/>
  <c r="AF30" i="32"/>
  <c r="H65" i="32"/>
  <c r="AG65" i="32" s="1"/>
  <c r="AF65" i="32"/>
  <c r="H83" i="32"/>
  <c r="AG83" i="32" s="1"/>
  <c r="AF83" i="32"/>
  <c r="H73" i="31"/>
  <c r="AG73" i="31" s="1"/>
  <c r="AF73" i="31"/>
  <c r="H39" i="31"/>
  <c r="AG39" i="31" s="1"/>
  <c r="AF39" i="31"/>
  <c r="H57" i="31"/>
  <c r="AG57" i="31" s="1"/>
  <c r="AF57" i="31"/>
  <c r="H72" i="32"/>
  <c r="AG72" i="32" s="1"/>
  <c r="AF72" i="32"/>
  <c r="H69" i="32"/>
  <c r="AG69" i="32" s="1"/>
  <c r="AF69" i="32"/>
  <c r="H26" i="31"/>
  <c r="AG26" i="31" s="1"/>
  <c r="AF26" i="31"/>
  <c r="H49" i="31"/>
  <c r="AG49" i="31" s="1"/>
  <c r="AF49" i="31"/>
  <c r="H49" i="30"/>
  <c r="AG49" i="30" s="1"/>
  <c r="AF49" i="30"/>
  <c r="H74" i="30"/>
  <c r="AG74" i="30" s="1"/>
  <c r="AF74" i="30"/>
  <c r="H14" i="30"/>
  <c r="AG14" i="30" s="1"/>
  <c r="AF14" i="30"/>
  <c r="H34" i="32"/>
  <c r="AG34" i="32" s="1"/>
  <c r="AF34" i="32"/>
  <c r="H6" i="32"/>
  <c r="AG6" i="32" s="1"/>
  <c r="AF6" i="32"/>
  <c r="H6" i="31"/>
  <c r="AG6" i="31" s="1"/>
  <c r="AF6" i="31"/>
  <c r="H64" i="31"/>
  <c r="AG64" i="31" s="1"/>
  <c r="AF64" i="31"/>
  <c r="H59" i="32"/>
  <c r="AG59" i="32" s="1"/>
  <c r="AF59" i="32"/>
  <c r="H60" i="32"/>
  <c r="AG60" i="32" s="1"/>
  <c r="AF60" i="32"/>
  <c r="H38" i="32"/>
  <c r="AG38" i="32" s="1"/>
  <c r="AF38" i="32"/>
  <c r="H25" i="31"/>
  <c r="AG25" i="31" s="1"/>
  <c r="AF25" i="31"/>
  <c r="H74" i="31"/>
  <c r="AG74" i="31" s="1"/>
  <c r="AF74" i="31"/>
  <c r="H15" i="30"/>
  <c r="AG15" i="30" s="1"/>
  <c r="AF15" i="30"/>
  <c r="H84" i="30"/>
  <c r="AG84" i="30" s="1"/>
  <c r="AF84" i="30"/>
  <c r="H13" i="30"/>
  <c r="AG13" i="30" s="1"/>
  <c r="AF13" i="30"/>
  <c r="H72" i="30"/>
  <c r="AG72" i="30" s="1"/>
  <c r="AF72" i="30"/>
  <c r="H50" i="32"/>
  <c r="AG50" i="32" s="1"/>
  <c r="AF50" i="32"/>
  <c r="H24" i="32"/>
  <c r="AG24" i="32" s="1"/>
  <c r="AF24" i="32"/>
  <c r="H32" i="31"/>
  <c r="AG32" i="31" s="1"/>
  <c r="AF32" i="31"/>
  <c r="H69" i="31"/>
  <c r="AG69" i="31" s="1"/>
  <c r="AF69" i="31"/>
  <c r="H53" i="31"/>
  <c r="AG53" i="31" s="1"/>
  <c r="AF53" i="31"/>
  <c r="H53" i="32"/>
  <c r="AG53" i="32" s="1"/>
  <c r="AF53" i="32"/>
  <c r="H56" i="32"/>
  <c r="AG56" i="32" s="1"/>
  <c r="AF56" i="32"/>
  <c r="H56" i="31"/>
  <c r="AG56" i="31" s="1"/>
  <c r="AF56" i="31"/>
  <c r="H81" i="31"/>
  <c r="AG81" i="31" s="1"/>
  <c r="AF81" i="31"/>
  <c r="H77" i="31"/>
  <c r="AG77" i="31" s="1"/>
  <c r="AF77" i="31"/>
  <c r="H45" i="30"/>
  <c r="AG45" i="30" s="1"/>
  <c r="AF45" i="30"/>
  <c r="H55" i="31"/>
  <c r="AG55" i="31" s="1"/>
  <c r="AF55" i="31"/>
  <c r="H67" i="31"/>
  <c r="AG67" i="31" s="1"/>
  <c r="AF67" i="31"/>
  <c r="H44" i="32"/>
  <c r="AG44" i="32" s="1"/>
  <c r="AF44" i="32"/>
  <c r="H16" i="30"/>
  <c r="AG16" i="30" s="1"/>
  <c r="AF16" i="30"/>
  <c r="H31" i="30"/>
  <c r="AG31" i="30" s="1"/>
  <c r="AF31" i="30"/>
  <c r="H68" i="30"/>
  <c r="AG68" i="30" s="1"/>
  <c r="AF68" i="30"/>
  <c r="H43" i="30"/>
  <c r="AG43" i="30" s="1"/>
  <c r="AF43" i="30"/>
  <c r="H51" i="30"/>
  <c r="AG51" i="30" s="1"/>
  <c r="AF51" i="30"/>
  <c r="H69" i="30"/>
  <c r="AG69" i="30" s="1"/>
  <c r="AF69" i="30"/>
  <c r="H23" i="30"/>
  <c r="AG23" i="30" s="1"/>
  <c r="AF23" i="30"/>
  <c r="H37" i="30"/>
  <c r="AG37" i="30" s="1"/>
  <c r="AF37" i="30"/>
  <c r="H19" i="30"/>
  <c r="AG19" i="30" s="1"/>
  <c r="AF19" i="30"/>
  <c r="H52" i="32"/>
  <c r="AG52" i="32" s="1"/>
  <c r="AF52" i="32"/>
  <c r="H33" i="32"/>
  <c r="AG33" i="32" s="1"/>
  <c r="AF33" i="32"/>
  <c r="H39" i="32"/>
  <c r="AG39" i="32" s="1"/>
  <c r="AF39" i="32"/>
  <c r="H54" i="31"/>
  <c r="AG54" i="31" s="1"/>
  <c r="AF54" i="31"/>
  <c r="H46" i="31"/>
  <c r="AG46" i="31" s="1"/>
  <c r="AF46" i="31"/>
  <c r="H54" i="32"/>
  <c r="AG54" i="32" s="1"/>
  <c r="AF54" i="32"/>
  <c r="H77" i="32"/>
  <c r="AG77" i="32" s="1"/>
  <c r="AF77" i="32"/>
  <c r="H7" i="32"/>
  <c r="AG7" i="32" s="1"/>
  <c r="AF7" i="32"/>
  <c r="H10" i="31"/>
  <c r="AG10" i="31" s="1"/>
  <c r="AF10" i="31"/>
  <c r="H79" i="31"/>
  <c r="AG79" i="31" s="1"/>
  <c r="AF79" i="31"/>
  <c r="H80" i="30"/>
  <c r="AG80" i="30" s="1"/>
  <c r="AF80" i="30"/>
  <c r="H63" i="30"/>
  <c r="AG63" i="30" s="1"/>
  <c r="AF63" i="30"/>
  <c r="H70" i="30"/>
  <c r="AG70" i="30" s="1"/>
  <c r="AF70" i="30"/>
  <c r="H42" i="30"/>
  <c r="AG42" i="30" s="1"/>
  <c r="AF42" i="30"/>
  <c r="H73" i="30"/>
  <c r="AG73" i="30" s="1"/>
  <c r="AF73" i="30"/>
  <c r="H10" i="30"/>
  <c r="AG10" i="30" s="1"/>
  <c r="AF10" i="30"/>
  <c r="H54" i="30"/>
  <c r="AG54" i="30" s="1"/>
  <c r="AF54" i="30"/>
  <c r="H20" i="32"/>
  <c r="AG20" i="32" s="1"/>
  <c r="AF20" i="32"/>
  <c r="H22" i="32"/>
  <c r="AG22" i="32" s="1"/>
  <c r="AF22" i="32"/>
  <c r="H58" i="31"/>
  <c r="AG58" i="31" s="1"/>
  <c r="AF58" i="31"/>
  <c r="H48" i="31"/>
  <c r="AG48" i="31" s="1"/>
  <c r="AF48" i="31"/>
  <c r="H4" i="31"/>
  <c r="AG4" i="31" s="1"/>
  <c r="AF4" i="31"/>
  <c r="H37" i="32"/>
  <c r="AG37" i="32" s="1"/>
  <c r="AF37" i="32"/>
  <c r="H62" i="32"/>
  <c r="AG62" i="32" s="1"/>
  <c r="AF62" i="32"/>
  <c r="H82" i="31"/>
  <c r="AG82" i="31" s="1"/>
  <c r="AF82" i="31"/>
  <c r="H30" i="31"/>
  <c r="AG30" i="31" s="1"/>
  <c r="AF30" i="31"/>
  <c r="H77" i="30"/>
  <c r="AG77" i="30" s="1"/>
  <c r="AF77" i="30"/>
  <c r="H44" i="31"/>
  <c r="AG44" i="31" s="1"/>
  <c r="AF44" i="31"/>
  <c r="H71" i="30"/>
  <c r="AG71" i="30" s="1"/>
  <c r="AF71" i="30"/>
  <c r="H73" i="32"/>
  <c r="AG73" i="32" s="1"/>
  <c r="AF73" i="32"/>
  <c r="H75" i="32"/>
  <c r="AG75" i="32" s="1"/>
  <c r="AF75" i="32"/>
  <c r="H76" i="31"/>
  <c r="AG76" i="31" s="1"/>
  <c r="AF76" i="31"/>
  <c r="H84" i="31"/>
  <c r="AG84" i="31" s="1"/>
  <c r="AF84" i="31"/>
  <c r="H82" i="32"/>
  <c r="AG82" i="32" s="1"/>
  <c r="AF82" i="32"/>
  <c r="H70" i="32"/>
  <c r="AG70" i="32" s="1"/>
  <c r="AF70" i="32"/>
  <c r="H67" i="32"/>
  <c r="AG67" i="32" s="1"/>
  <c r="AF67" i="32"/>
  <c r="H20" i="31"/>
  <c r="AG20" i="31" s="1"/>
  <c r="AF20" i="31"/>
  <c r="H19" i="31"/>
  <c r="AG19" i="31" s="1"/>
  <c r="AF19" i="31"/>
  <c r="H67" i="30"/>
  <c r="AG67" i="30" s="1"/>
  <c r="AF67" i="30"/>
  <c r="H20" i="30"/>
  <c r="AG20" i="30" s="1"/>
  <c r="AF20" i="30"/>
  <c r="H58" i="30"/>
  <c r="AG58" i="30" s="1"/>
  <c r="AF58" i="30"/>
  <c r="H79" i="30"/>
  <c r="AG79" i="30" s="1"/>
  <c r="AF79" i="30"/>
  <c r="H25" i="30"/>
  <c r="AG25" i="30" s="1"/>
  <c r="AF25" i="30"/>
  <c r="H13" i="32"/>
  <c r="AG13" i="32" s="1"/>
  <c r="AF13" i="32"/>
  <c r="H31" i="32"/>
  <c r="AG31" i="32" s="1"/>
  <c r="AF31" i="32"/>
  <c r="H9" i="32"/>
  <c r="AG9" i="32" s="1"/>
  <c r="AF9" i="32"/>
  <c r="H78" i="31"/>
  <c r="AG78" i="31" s="1"/>
  <c r="AF78" i="31"/>
  <c r="H27" i="31"/>
  <c r="AG27" i="31" s="1"/>
  <c r="AF27" i="31"/>
  <c r="H35" i="32"/>
  <c r="AG35" i="32" s="1"/>
  <c r="AF35" i="32"/>
  <c r="H27" i="32"/>
  <c r="AG27" i="32" s="1"/>
  <c r="AF27" i="32"/>
  <c r="H28" i="32"/>
  <c r="AG28" i="32" s="1"/>
  <c r="AF28" i="32"/>
  <c r="H62" i="31"/>
  <c r="AG62" i="31" s="1"/>
  <c r="AF62" i="31"/>
  <c r="H70" i="31"/>
  <c r="AG70" i="31" s="1"/>
  <c r="AF70" i="31"/>
  <c r="H65" i="31"/>
  <c r="AG65" i="31" s="1"/>
  <c r="AF65" i="31"/>
  <c r="E36" i="34"/>
  <c r="E37" i="34" s="1"/>
  <c r="E36" i="39"/>
  <c r="E37" i="39" s="1"/>
  <c r="H70" i="37"/>
  <c r="AG70" i="37" s="1"/>
  <c r="H55" i="38"/>
  <c r="AG55" i="38" s="1"/>
  <c r="H78" i="38"/>
  <c r="AG78" i="38" s="1"/>
  <c r="H36" i="38"/>
  <c r="AG36" i="38" s="1"/>
  <c r="H20" i="37"/>
  <c r="AG20" i="37" s="1"/>
  <c r="H26" i="38"/>
  <c r="AG26" i="38" s="1"/>
  <c r="H29" i="38"/>
  <c r="AG29" i="38" s="1"/>
  <c r="H51" i="36"/>
  <c r="AG51" i="36" s="1"/>
  <c r="H12" i="36"/>
  <c r="AG12" i="36" s="1"/>
  <c r="H30" i="37"/>
  <c r="AG30" i="37" s="1"/>
  <c r="H15" i="38"/>
  <c r="AG15" i="38" s="1"/>
  <c r="H22" i="36"/>
  <c r="AG22" i="36" s="1"/>
  <c r="H34" i="36"/>
  <c r="AG34" i="36" s="1"/>
  <c r="H54" i="36"/>
  <c r="AG54" i="36" s="1"/>
  <c r="H36" i="37"/>
  <c r="AG36" i="37" s="1"/>
  <c r="H48" i="37"/>
  <c r="AG48" i="37" s="1"/>
  <c r="H50" i="38"/>
  <c r="AG50" i="38" s="1"/>
  <c r="H49" i="38"/>
  <c r="AG49" i="38" s="1"/>
  <c r="H39" i="37"/>
  <c r="AG39" i="37" s="1"/>
  <c r="H4" i="38"/>
  <c r="AG4" i="38" s="1"/>
  <c r="H70" i="38"/>
  <c r="AG70" i="38" s="1"/>
  <c r="H9" i="37"/>
  <c r="AG9" i="37" s="1"/>
  <c r="H17" i="36"/>
  <c r="AG17" i="36" s="1"/>
  <c r="H38" i="37"/>
  <c r="AG38" i="37" s="1"/>
  <c r="H71" i="37"/>
  <c r="AG71" i="37" s="1"/>
  <c r="H35" i="36"/>
  <c r="AG35" i="36" s="1"/>
  <c r="H43" i="36"/>
  <c r="AG43" i="36" s="1"/>
  <c r="H80" i="36"/>
  <c r="AG80" i="36" s="1"/>
  <c r="H22" i="37"/>
  <c r="AG22" i="37" s="1"/>
  <c r="H69" i="37"/>
  <c r="AG69" i="37" s="1"/>
  <c r="H34" i="38"/>
  <c r="AG34" i="38" s="1"/>
  <c r="H52" i="38"/>
  <c r="AG52" i="38" s="1"/>
  <c r="H31" i="38"/>
  <c r="AG31" i="38" s="1"/>
  <c r="H7" i="37"/>
  <c r="AG7" i="37" s="1"/>
  <c r="H80" i="38"/>
  <c r="AG80" i="38" s="1"/>
  <c r="H76" i="38"/>
  <c r="AG76" i="38" s="1"/>
  <c r="H59" i="38"/>
  <c r="AG59" i="38" s="1"/>
  <c r="H58" i="36"/>
  <c r="AG58" i="36" s="1"/>
  <c r="H14" i="37"/>
  <c r="AG14" i="37" s="1"/>
  <c r="H22" i="38"/>
  <c r="AG22" i="38" s="1"/>
  <c r="H66" i="36"/>
  <c r="AG66" i="36" s="1"/>
  <c r="H76" i="36"/>
  <c r="AG76" i="36" s="1"/>
  <c r="H10" i="37"/>
  <c r="AG10" i="37" s="1"/>
  <c r="H63" i="37"/>
  <c r="AG63" i="37" s="1"/>
  <c r="H68" i="36"/>
  <c r="AG68" i="36" s="1"/>
  <c r="H18" i="37"/>
  <c r="AG18" i="37" s="1"/>
  <c r="H35" i="38"/>
  <c r="AG35" i="38" s="1"/>
  <c r="H57" i="38"/>
  <c r="AG57" i="38" s="1"/>
  <c r="H46" i="37"/>
  <c r="AG46" i="37" s="1"/>
  <c r="H43" i="38"/>
  <c r="AG43" i="38" s="1"/>
  <c r="H10" i="38"/>
  <c r="AG10" i="38" s="1"/>
  <c r="H5" i="36"/>
  <c r="AG5" i="36" s="1"/>
  <c r="H11" i="36"/>
  <c r="AG11" i="36" s="1"/>
  <c r="H8" i="37"/>
  <c r="AG8" i="37" s="1"/>
  <c r="H21" i="38"/>
  <c r="AG21" i="38" s="1"/>
  <c r="H78" i="36"/>
  <c r="AG78" i="36" s="1"/>
  <c r="H57" i="36"/>
  <c r="AG57" i="36" s="1"/>
  <c r="H50" i="36"/>
  <c r="AG50" i="36" s="1"/>
  <c r="H52" i="37"/>
  <c r="AG52" i="37" s="1"/>
  <c r="H82" i="36"/>
  <c r="AG82" i="36" s="1"/>
  <c r="H64" i="37"/>
  <c r="AG64" i="37" s="1"/>
  <c r="H60" i="38"/>
  <c r="AG60" i="38" s="1"/>
  <c r="H58" i="38"/>
  <c r="AG58" i="38" s="1"/>
  <c r="H73" i="37"/>
  <c r="AG73" i="37" s="1"/>
  <c r="H50" i="37"/>
  <c r="AG50" i="37" s="1"/>
  <c r="H84" i="38"/>
  <c r="AG84" i="38" s="1"/>
  <c r="H82" i="38"/>
  <c r="AG82" i="38" s="1"/>
  <c r="H31" i="36"/>
  <c r="AG31" i="36" s="1"/>
  <c r="H55" i="37"/>
  <c r="AG55" i="37" s="1"/>
  <c r="H61" i="37"/>
  <c r="AG61" i="37" s="1"/>
  <c r="H38" i="36"/>
  <c r="AG38" i="36" s="1"/>
  <c r="H9" i="36"/>
  <c r="AG9" i="36" s="1"/>
  <c r="H49" i="36"/>
  <c r="AG49" i="36" s="1"/>
  <c r="H32" i="37"/>
  <c r="AG32" i="37" s="1"/>
  <c r="H54" i="37"/>
  <c r="AG54" i="37" s="1"/>
  <c r="H16" i="37"/>
  <c r="AG16" i="37" s="1"/>
  <c r="H75" i="36"/>
  <c r="AG75" i="36" s="1"/>
  <c r="H68" i="37"/>
  <c r="AG68" i="37" s="1"/>
  <c r="H75" i="38"/>
  <c r="AG75" i="38" s="1"/>
  <c r="H61" i="38"/>
  <c r="AG61" i="38" s="1"/>
  <c r="H13" i="38"/>
  <c r="AG13" i="38" s="1"/>
  <c r="H25" i="37"/>
  <c r="AG25" i="37" s="1"/>
  <c r="H48" i="38"/>
  <c r="AG48" i="38" s="1"/>
  <c r="H60" i="36"/>
  <c r="AG60" i="36" s="1"/>
  <c r="H46" i="38"/>
  <c r="AG46" i="38" s="1"/>
  <c r="H16" i="36"/>
  <c r="AG16" i="36" s="1"/>
  <c r="H53" i="37"/>
  <c r="AG53" i="37" s="1"/>
  <c r="H20" i="36"/>
  <c r="AG20" i="36" s="1"/>
  <c r="H70" i="36"/>
  <c r="AG70" i="36" s="1"/>
  <c r="H55" i="36"/>
  <c r="AG55" i="36" s="1"/>
  <c r="H56" i="37"/>
  <c r="AG56" i="37" s="1"/>
  <c r="H40" i="36"/>
  <c r="AG40" i="36" s="1"/>
  <c r="H43" i="37"/>
  <c r="AG43" i="37" s="1"/>
  <c r="H16" i="38"/>
  <c r="AG16" i="38" s="1"/>
  <c r="H25" i="38"/>
  <c r="AG25" i="38" s="1"/>
  <c r="H21" i="37"/>
  <c r="AG21" i="37" s="1"/>
  <c r="H19" i="37"/>
  <c r="AG19" i="37" s="1"/>
  <c r="H53" i="38"/>
  <c r="AG53" i="38" s="1"/>
  <c r="H61" i="36"/>
  <c r="AG61" i="36" s="1"/>
  <c r="H19" i="36"/>
  <c r="AG19" i="36" s="1"/>
  <c r="H62" i="36"/>
  <c r="AG62" i="36" s="1"/>
  <c r="H12" i="37"/>
  <c r="AG12" i="37" s="1"/>
  <c r="H81" i="36"/>
  <c r="AG81" i="36" s="1"/>
  <c r="H8" i="36"/>
  <c r="AG8" i="36" s="1"/>
  <c r="H79" i="36"/>
  <c r="AG79" i="36" s="1"/>
  <c r="H41" i="37"/>
  <c r="AG41" i="37" s="1"/>
  <c r="H21" i="36"/>
  <c r="AG21" i="36" s="1"/>
  <c r="H42" i="37"/>
  <c r="AG42" i="37" s="1"/>
  <c r="H65" i="37"/>
  <c r="AG65" i="37" s="1"/>
  <c r="H17" i="38"/>
  <c r="AG17" i="38" s="1"/>
  <c r="H83" i="38"/>
  <c r="AG83" i="38" s="1"/>
  <c r="H24" i="38"/>
  <c r="AG24" i="38" s="1"/>
  <c r="H44" i="37"/>
  <c r="AG44" i="37" s="1"/>
  <c r="H19" i="38"/>
  <c r="AG19" i="38" s="1"/>
  <c r="H63" i="38"/>
  <c r="AG63" i="38" s="1"/>
  <c r="H13" i="36"/>
  <c r="AG13" i="36" s="1"/>
  <c r="H78" i="37"/>
  <c r="AG78" i="37" s="1"/>
  <c r="H64" i="36"/>
  <c r="AG64" i="36" s="1"/>
  <c r="H4" i="36"/>
  <c r="AG4" i="36" s="1"/>
  <c r="H5" i="37"/>
  <c r="AG5" i="37" s="1"/>
  <c r="H67" i="37"/>
  <c r="AG67" i="37" s="1"/>
  <c r="H23" i="37"/>
  <c r="AG23" i="37" s="1"/>
  <c r="H62" i="37"/>
  <c r="AG62" i="37" s="1"/>
  <c r="H11" i="37"/>
  <c r="AG11" i="37" s="1"/>
  <c r="H7" i="38"/>
  <c r="AG7" i="38" s="1"/>
  <c r="H45" i="38"/>
  <c r="AG45" i="38" s="1"/>
  <c r="H77" i="38"/>
  <c r="AG77" i="38" s="1"/>
  <c r="H8" i="38"/>
  <c r="AG8" i="38" s="1"/>
  <c r="H30" i="38"/>
  <c r="AG30" i="38" s="1"/>
  <c r="H27" i="37"/>
  <c r="AG27" i="37" s="1"/>
  <c r="H33" i="37"/>
  <c r="AG33" i="37" s="1"/>
  <c r="H81" i="38"/>
  <c r="AG81" i="38" s="1"/>
  <c r="H67" i="38"/>
  <c r="AG67" i="38" s="1"/>
  <c r="H5" i="38"/>
  <c r="AG5" i="38" s="1"/>
  <c r="H41" i="36"/>
  <c r="AG41" i="36" s="1"/>
  <c r="H37" i="38"/>
  <c r="AG37" i="38" s="1"/>
  <c r="H69" i="36"/>
  <c r="AG69" i="36" s="1"/>
  <c r="H7" i="36"/>
  <c r="AG7" i="36" s="1"/>
  <c r="H48" i="36"/>
  <c r="AG48" i="36" s="1"/>
  <c r="H34" i="37"/>
  <c r="AG34" i="37" s="1"/>
  <c r="H74" i="37"/>
  <c r="AG74" i="37" s="1"/>
  <c r="H51" i="38"/>
  <c r="AG51" i="38" s="1"/>
  <c r="H15" i="36"/>
  <c r="AG15" i="36" s="1"/>
  <c r="H84" i="36"/>
  <c r="AG84" i="36" s="1"/>
  <c r="H73" i="36"/>
  <c r="AG73" i="36" s="1"/>
  <c r="H23" i="36"/>
  <c r="AG23" i="36" s="1"/>
  <c r="H45" i="36"/>
  <c r="AG45" i="36" s="1"/>
  <c r="H13" i="37"/>
  <c r="AG13" i="37" s="1"/>
  <c r="H79" i="37"/>
  <c r="AG79" i="37" s="1"/>
  <c r="H67" i="36"/>
  <c r="AG67" i="36" s="1"/>
  <c r="H83" i="36"/>
  <c r="AG83" i="36" s="1"/>
  <c r="H25" i="36"/>
  <c r="AG25" i="36" s="1"/>
  <c r="H76" i="37"/>
  <c r="AG76" i="37" s="1"/>
  <c r="H37" i="37"/>
  <c r="AG37" i="37" s="1"/>
  <c r="H42" i="38"/>
  <c r="AG42" i="38" s="1"/>
  <c r="H33" i="38"/>
  <c r="AG33" i="38" s="1"/>
  <c r="H12" i="38"/>
  <c r="AG12" i="38" s="1"/>
  <c r="H6" i="38"/>
  <c r="AG6" i="38" s="1"/>
  <c r="H32" i="38"/>
  <c r="AG32" i="38" s="1"/>
  <c r="H66" i="37"/>
  <c r="AG66" i="37" s="1"/>
  <c r="H29" i="37"/>
  <c r="AG29" i="37" s="1"/>
  <c r="H31" i="37"/>
  <c r="AG31" i="37" s="1"/>
  <c r="H41" i="38"/>
  <c r="AG41" i="38" s="1"/>
  <c r="H23" i="38"/>
  <c r="AG23" i="38" s="1"/>
  <c r="H11" i="38"/>
  <c r="AG11" i="38" s="1"/>
  <c r="H42" i="36"/>
  <c r="AG42" i="36" s="1"/>
  <c r="H40" i="38"/>
  <c r="AG40" i="38" s="1"/>
  <c r="H77" i="36"/>
  <c r="AG77" i="36" s="1"/>
  <c r="H63" i="36"/>
  <c r="AG63" i="36" s="1"/>
  <c r="H74" i="36"/>
  <c r="AG74" i="36" s="1"/>
  <c r="H15" i="37"/>
  <c r="AG15" i="37" s="1"/>
  <c r="H80" i="37"/>
  <c r="AG80" i="37" s="1"/>
  <c r="H47" i="38"/>
  <c r="AG47" i="38" s="1"/>
  <c r="H52" i="36"/>
  <c r="AG52" i="36" s="1"/>
  <c r="H33" i="36"/>
  <c r="AG33" i="36" s="1"/>
  <c r="H14" i="36"/>
  <c r="AG14" i="36" s="1"/>
  <c r="H36" i="36"/>
  <c r="AG36" i="36" s="1"/>
  <c r="H26" i="36"/>
  <c r="AG26" i="36" s="1"/>
  <c r="H4" i="37"/>
  <c r="AG4" i="37" s="1"/>
  <c r="H47" i="37"/>
  <c r="AG47" i="37" s="1"/>
  <c r="H81" i="37"/>
  <c r="AG81" i="37" s="1"/>
  <c r="H77" i="37"/>
  <c r="AG77" i="37" s="1"/>
  <c r="H75" i="37"/>
  <c r="AG75" i="37" s="1"/>
  <c r="H38" i="38"/>
  <c r="AG38" i="38" s="1"/>
  <c r="H66" i="38"/>
  <c r="AG66" i="38" s="1"/>
  <c r="H72" i="38"/>
  <c r="AG72" i="38" s="1"/>
  <c r="H71" i="38"/>
  <c r="AG71" i="38" s="1"/>
  <c r="H73" i="38"/>
  <c r="AG73" i="38" s="1"/>
  <c r="H69" i="38"/>
  <c r="AG69" i="38" s="1"/>
  <c r="H17" i="37"/>
  <c r="AG17" i="37" s="1"/>
  <c r="H26" i="37"/>
  <c r="AG26" i="37" s="1"/>
  <c r="H18" i="38"/>
  <c r="AG18" i="38" s="1"/>
  <c r="H20" i="38"/>
  <c r="AG20" i="38" s="1"/>
  <c r="H65" i="38"/>
  <c r="AG65" i="38" s="1"/>
  <c r="H53" i="36"/>
  <c r="AG53" i="36" s="1"/>
  <c r="H60" i="37"/>
  <c r="AG60" i="37" s="1"/>
  <c r="H27" i="38"/>
  <c r="AG27" i="38" s="1"/>
  <c r="H72" i="36"/>
  <c r="AG72" i="36" s="1"/>
  <c r="H30" i="36"/>
  <c r="AG30" i="36" s="1"/>
  <c r="H51" i="37"/>
  <c r="AG51" i="37" s="1"/>
  <c r="H6" i="37"/>
  <c r="AG6" i="37" s="1"/>
  <c r="H57" i="37"/>
  <c r="AG57" i="37" s="1"/>
  <c r="H14" i="38"/>
  <c r="AG14" i="38" s="1"/>
  <c r="H29" i="36"/>
  <c r="AG29" i="36" s="1"/>
  <c r="H18" i="36"/>
  <c r="AG18" i="36" s="1"/>
  <c r="H44" i="36"/>
  <c r="AG44" i="36" s="1"/>
  <c r="H71" i="36"/>
  <c r="AG71" i="36" s="1"/>
  <c r="H6" i="36"/>
  <c r="AG6" i="36" s="1"/>
  <c r="H49" i="37"/>
  <c r="AG49" i="37" s="1"/>
  <c r="H84" i="37"/>
  <c r="AG84" i="37" s="1"/>
  <c r="H27" i="36"/>
  <c r="AG27" i="36" s="1"/>
  <c r="H37" i="36"/>
  <c r="AG37" i="36" s="1"/>
  <c r="H47" i="36"/>
  <c r="AG47" i="36" s="1"/>
  <c r="H24" i="37"/>
  <c r="AG24" i="37" s="1"/>
  <c r="H83" i="37"/>
  <c r="AG83" i="37" s="1"/>
  <c r="H62" i="38"/>
  <c r="AG62" i="38" s="1"/>
  <c r="H64" i="38"/>
  <c r="AG64" i="38" s="1"/>
  <c r="H44" i="38"/>
  <c r="AG44" i="38" s="1"/>
  <c r="H54" i="38"/>
  <c r="AG54" i="38" s="1"/>
  <c r="H28" i="38"/>
  <c r="AG28" i="38" s="1"/>
  <c r="H72" i="37"/>
  <c r="AG72" i="37" s="1"/>
  <c r="H40" i="37"/>
  <c r="AG40" i="37" s="1"/>
  <c r="H59" i="37"/>
  <c r="AG59" i="37" s="1"/>
  <c r="H79" i="38"/>
  <c r="AG79" i="38" s="1"/>
  <c r="H56" i="38"/>
  <c r="AG56" i="38" s="1"/>
  <c r="H39" i="38"/>
  <c r="AG39" i="38" s="1"/>
  <c r="H65" i="36"/>
  <c r="AG65" i="36" s="1"/>
  <c r="H9" i="38"/>
  <c r="AG9" i="38" s="1"/>
  <c r="H46" i="36"/>
  <c r="AG46" i="36" s="1"/>
  <c r="H56" i="36"/>
  <c r="AG56" i="36" s="1"/>
  <c r="H59" i="36"/>
  <c r="AG59" i="36" s="1"/>
  <c r="H45" i="37"/>
  <c r="AG45" i="37" s="1"/>
  <c r="H82" i="37"/>
  <c r="AG82" i="37" s="1"/>
  <c r="H35" i="37"/>
  <c r="AG35" i="37" s="1"/>
  <c r="H74" i="38"/>
  <c r="AG74" i="38" s="1"/>
  <c r="H24" i="36"/>
  <c r="AG24" i="36" s="1"/>
  <c r="H32" i="36"/>
  <c r="AG32" i="36" s="1"/>
  <c r="H10" i="36"/>
  <c r="AG10" i="36" s="1"/>
  <c r="H39" i="36"/>
  <c r="AG39" i="36" s="1"/>
  <c r="H28" i="36"/>
  <c r="AG28" i="36" s="1"/>
  <c r="H58" i="37"/>
  <c r="AG58" i="37" s="1"/>
  <c r="H28" i="37"/>
  <c r="AG28" i="37" s="1"/>
  <c r="H68" i="38"/>
  <c r="AG68" i="38" s="1"/>
  <c r="G36" i="17"/>
  <c r="G37" i="17" s="1"/>
  <c r="F36" i="17"/>
  <c r="F37" i="17" s="1"/>
  <c r="G36" i="39" l="1"/>
  <c r="G37" i="39" s="1"/>
  <c r="F36" i="39"/>
  <c r="F37" i="39" s="1"/>
  <c r="F36" i="40"/>
  <c r="F37" i="40" s="1"/>
  <c r="F36" i="34"/>
  <c r="F37" i="34" s="1"/>
  <c r="G36" i="40"/>
  <c r="G37" i="40" s="1"/>
  <c r="G36" i="34"/>
  <c r="G37" i="34" s="1"/>
  <c r="C20" i="40"/>
  <c r="C21" i="40" s="1"/>
  <c r="C22" i="40" s="1"/>
  <c r="C49" i="40"/>
  <c r="C50" i="40" s="1"/>
  <c r="C51" i="40" s="1"/>
  <c r="C53" i="40" s="1"/>
  <c r="C61" i="40" s="1"/>
  <c r="C160" i="42" s="1"/>
  <c r="C38" i="40"/>
  <c r="C39" i="40" s="1"/>
  <c r="C40" i="40" s="1"/>
  <c r="C41" i="40" s="1"/>
  <c r="C49" i="39"/>
  <c r="C50" i="39" s="1"/>
  <c r="C51" i="39" s="1"/>
  <c r="C53" i="39" s="1"/>
  <c r="C61" i="39" s="1"/>
  <c r="C160" i="41" s="1"/>
  <c r="C20" i="39"/>
  <c r="C21" i="39" s="1"/>
  <c r="C22" i="39" s="1"/>
  <c r="C38" i="39"/>
  <c r="C39" i="39" s="1"/>
  <c r="C40" i="39" s="1"/>
  <c r="C41" i="39" s="1"/>
  <c r="C49" i="34"/>
  <c r="C38" i="34"/>
  <c r="C20" i="34"/>
  <c r="C95" i="42" l="1"/>
  <c r="D20" i="40"/>
  <c r="D21" i="40" s="1"/>
  <c r="D22" i="40" s="1"/>
  <c r="D49" i="40"/>
  <c r="D50" i="40" s="1"/>
  <c r="D51" i="40" s="1"/>
  <c r="D53" i="40" s="1"/>
  <c r="D61" i="40" s="1"/>
  <c r="D160" i="42" s="1"/>
  <c r="D38" i="40"/>
  <c r="D39" i="40" s="1"/>
  <c r="D40" i="40" s="1"/>
  <c r="D41" i="40" s="1"/>
  <c r="C59" i="40"/>
  <c r="C158" i="42" s="1"/>
  <c r="C29" i="40"/>
  <c r="C149" i="42" s="1"/>
  <c r="C26" i="40"/>
  <c r="C30" i="40" s="1"/>
  <c r="C150" i="42" s="1"/>
  <c r="C44" i="40"/>
  <c r="C60" i="40" s="1"/>
  <c r="C159" i="42" s="1"/>
  <c r="C59" i="39"/>
  <c r="C158" i="41" s="1"/>
  <c r="C29" i="39"/>
  <c r="C149" i="41" s="1"/>
  <c r="C26" i="39"/>
  <c r="C30" i="39" s="1"/>
  <c r="C44" i="39"/>
  <c r="C60" i="39" s="1"/>
  <c r="C159" i="41" s="1"/>
  <c r="D20" i="39"/>
  <c r="D21" i="39" s="1"/>
  <c r="D22" i="39" s="1"/>
  <c r="D49" i="39"/>
  <c r="D50" i="39" s="1"/>
  <c r="D51" i="39" s="1"/>
  <c r="D53" i="39" s="1"/>
  <c r="D61" i="39" s="1"/>
  <c r="D160" i="41" s="1"/>
  <c r="D38" i="39"/>
  <c r="D39" i="39" s="1"/>
  <c r="D40" i="39" s="1"/>
  <c r="D41" i="39" s="1"/>
  <c r="D49" i="34"/>
  <c r="D38" i="34"/>
  <c r="D20" i="34"/>
  <c r="C57" i="41" l="1"/>
  <c r="C150" i="41"/>
  <c r="C56" i="39"/>
  <c r="C62" i="39" s="1"/>
  <c r="C161" i="41" s="1"/>
  <c r="C94" i="42"/>
  <c r="C93" i="42"/>
  <c r="C58" i="42"/>
  <c r="C153" i="42"/>
  <c r="D59" i="40"/>
  <c r="D158" i="42" s="1"/>
  <c r="E20" i="40"/>
  <c r="E21" i="40" s="1"/>
  <c r="E22" i="40" s="1"/>
  <c r="E49" i="40"/>
  <c r="E50" i="40" s="1"/>
  <c r="E51" i="40" s="1"/>
  <c r="E53" i="40" s="1"/>
  <c r="E61" i="40" s="1"/>
  <c r="E160" i="42" s="1"/>
  <c r="E38" i="40"/>
  <c r="E39" i="40" s="1"/>
  <c r="E40" i="40" s="1"/>
  <c r="E41" i="40" s="1"/>
  <c r="C57" i="42"/>
  <c r="C152" i="42"/>
  <c r="D95" i="42"/>
  <c r="C56" i="40"/>
  <c r="C62" i="40" s="1"/>
  <c r="C161" i="42" s="1"/>
  <c r="D26" i="40"/>
  <c r="D30" i="40" s="1"/>
  <c r="D150" i="42" s="1"/>
  <c r="D29" i="40"/>
  <c r="D149" i="42" s="1"/>
  <c r="D44" i="40"/>
  <c r="D60" i="40" s="1"/>
  <c r="D159" i="42" s="1"/>
  <c r="D94" i="42" s="1"/>
  <c r="D59" i="39"/>
  <c r="D158" i="41" s="1"/>
  <c r="D29" i="39"/>
  <c r="D149" i="41" s="1"/>
  <c r="D26" i="39"/>
  <c r="D30" i="39" s="1"/>
  <c r="D150" i="41" s="1"/>
  <c r="D44" i="39"/>
  <c r="D60" i="39" s="1"/>
  <c r="D159" i="41" s="1"/>
  <c r="E20" i="39"/>
  <c r="E21" i="39" s="1"/>
  <c r="E22" i="39" s="1"/>
  <c r="E49" i="39"/>
  <c r="E50" i="39" s="1"/>
  <c r="E51" i="39" s="1"/>
  <c r="E53" i="39" s="1"/>
  <c r="E61" i="39" s="1"/>
  <c r="E160" i="41" s="1"/>
  <c r="E38" i="39"/>
  <c r="E39" i="39" s="1"/>
  <c r="E40" i="39" s="1"/>
  <c r="E41" i="39" s="1"/>
  <c r="E38" i="34"/>
  <c r="E49" i="34"/>
  <c r="E20" i="34"/>
  <c r="C58" i="41" l="1"/>
  <c r="D56" i="39"/>
  <c r="D62" i="39" s="1"/>
  <c r="D161" i="41" s="1"/>
  <c r="C165" i="42"/>
  <c r="C96" i="42"/>
  <c r="C166" i="42"/>
  <c r="D56" i="40"/>
  <c r="D62" i="40" s="1"/>
  <c r="D161" i="42" s="1"/>
  <c r="D163" i="42" s="1"/>
  <c r="D101" i="42" s="1"/>
  <c r="C163" i="42"/>
  <c r="E59" i="40"/>
  <c r="E158" i="42" s="1"/>
  <c r="D93" i="42"/>
  <c r="G20" i="40"/>
  <c r="G21" i="40" s="1"/>
  <c r="G22" i="40" s="1"/>
  <c r="G49" i="40"/>
  <c r="G50" i="40" s="1"/>
  <c r="G51" i="40" s="1"/>
  <c r="G53" i="40" s="1"/>
  <c r="G61" i="40" s="1"/>
  <c r="G160" i="42" s="1"/>
  <c r="G38" i="40"/>
  <c r="G39" i="40" s="1"/>
  <c r="G40" i="40" s="1"/>
  <c r="G41" i="40" s="1"/>
  <c r="D57" i="42"/>
  <c r="D152" i="42"/>
  <c r="D62" i="42" s="1"/>
  <c r="E95" i="42"/>
  <c r="C63" i="42"/>
  <c r="C164" i="42"/>
  <c r="F20" i="40"/>
  <c r="F21" i="40" s="1"/>
  <c r="F22" i="40" s="1"/>
  <c r="F49" i="40"/>
  <c r="F50" i="40" s="1"/>
  <c r="F51" i="40" s="1"/>
  <c r="F53" i="40" s="1"/>
  <c r="F61" i="40" s="1"/>
  <c r="F160" i="42" s="1"/>
  <c r="F38" i="40"/>
  <c r="F39" i="40" s="1"/>
  <c r="F40" i="40" s="1"/>
  <c r="F41" i="40" s="1"/>
  <c r="D58" i="42"/>
  <c r="D153" i="42"/>
  <c r="D63" i="42" s="1"/>
  <c r="C62" i="42"/>
  <c r="E29" i="40"/>
  <c r="E149" i="42" s="1"/>
  <c r="E26" i="40"/>
  <c r="E30" i="40" s="1"/>
  <c r="E150" i="42" s="1"/>
  <c r="E44" i="40"/>
  <c r="E60" i="40" s="1"/>
  <c r="E159" i="42" s="1"/>
  <c r="F20" i="39"/>
  <c r="F21" i="39" s="1"/>
  <c r="F22" i="39" s="1"/>
  <c r="F49" i="39"/>
  <c r="F50" i="39" s="1"/>
  <c r="F51" i="39" s="1"/>
  <c r="F53" i="39" s="1"/>
  <c r="F61" i="39" s="1"/>
  <c r="F160" i="41" s="1"/>
  <c r="F38" i="39"/>
  <c r="F39" i="39" s="1"/>
  <c r="F40" i="39" s="1"/>
  <c r="F41" i="39" s="1"/>
  <c r="E26" i="39"/>
  <c r="E30" i="39" s="1"/>
  <c r="E150" i="41" s="1"/>
  <c r="E29" i="39"/>
  <c r="E149" i="41" s="1"/>
  <c r="E44" i="39"/>
  <c r="E60" i="39" s="1"/>
  <c r="E159" i="41" s="1"/>
  <c r="E59" i="39"/>
  <c r="E158" i="41" s="1"/>
  <c r="G20" i="39"/>
  <c r="G21" i="39" s="1"/>
  <c r="G22" i="39" s="1"/>
  <c r="G49" i="39"/>
  <c r="G50" i="39" s="1"/>
  <c r="G51" i="39" s="1"/>
  <c r="G53" i="39" s="1"/>
  <c r="G61" i="39" s="1"/>
  <c r="G160" i="41" s="1"/>
  <c r="G38" i="39"/>
  <c r="G39" i="39" s="1"/>
  <c r="G40" i="39" s="1"/>
  <c r="G41" i="39" s="1"/>
  <c r="G49" i="34"/>
  <c r="G38" i="34"/>
  <c r="G20" i="34"/>
  <c r="F49" i="34"/>
  <c r="F38" i="34"/>
  <c r="F20" i="34"/>
  <c r="C21" i="34"/>
  <c r="C22" i="34" s="1"/>
  <c r="C39" i="34"/>
  <c r="C50" i="34"/>
  <c r="C51" i="34" s="1"/>
  <c r="C53" i="34" s="1"/>
  <c r="C61" i="34" s="1"/>
  <c r="E93" i="42" l="1"/>
  <c r="C21" i="17"/>
  <c r="D165" i="42"/>
  <c r="D103" i="42" s="1"/>
  <c r="E58" i="42"/>
  <c r="E153" i="42"/>
  <c r="F29" i="40"/>
  <c r="F149" i="42" s="1"/>
  <c r="F26" i="40"/>
  <c r="F30" i="40" s="1"/>
  <c r="F150" i="42" s="1"/>
  <c r="F44" i="40"/>
  <c r="F60" i="40" s="1"/>
  <c r="F159" i="42" s="1"/>
  <c r="G59" i="40"/>
  <c r="G158" i="42" s="1"/>
  <c r="C101" i="42"/>
  <c r="C103" i="42"/>
  <c r="E57" i="42"/>
  <c r="E152" i="42"/>
  <c r="C102" i="42"/>
  <c r="G95" i="42"/>
  <c r="E56" i="40"/>
  <c r="E62" i="40" s="1"/>
  <c r="E161" i="42" s="1"/>
  <c r="E164" i="42" s="1"/>
  <c r="E102" i="42" s="1"/>
  <c r="D164" i="42"/>
  <c r="D102" i="42" s="1"/>
  <c r="D96" i="42"/>
  <c r="D166" i="42"/>
  <c r="D104" i="42" s="1"/>
  <c r="G29" i="40"/>
  <c r="G149" i="42" s="1"/>
  <c r="G26" i="40"/>
  <c r="G30" i="40" s="1"/>
  <c r="G150" i="42" s="1"/>
  <c r="G44" i="40"/>
  <c r="G60" i="40" s="1"/>
  <c r="G159" i="42" s="1"/>
  <c r="C104" i="42"/>
  <c r="F59" i="40"/>
  <c r="F158" i="42" s="1"/>
  <c r="E94" i="42"/>
  <c r="F95" i="42"/>
  <c r="E56" i="39"/>
  <c r="E62" i="39" s="1"/>
  <c r="E161" i="41" s="1"/>
  <c r="G59" i="39"/>
  <c r="G158" i="41" s="1"/>
  <c r="F59" i="39"/>
  <c r="F158" i="41" s="1"/>
  <c r="G29" i="39"/>
  <c r="G149" i="41" s="1"/>
  <c r="G26" i="39"/>
  <c r="G30" i="39" s="1"/>
  <c r="G150" i="41" s="1"/>
  <c r="G44" i="39"/>
  <c r="G60" i="39" s="1"/>
  <c r="G159" i="41" s="1"/>
  <c r="F29" i="39"/>
  <c r="F149" i="41" s="1"/>
  <c r="F26" i="39"/>
  <c r="F30" i="39" s="1"/>
  <c r="F150" i="41" s="1"/>
  <c r="F44" i="39"/>
  <c r="F60" i="39" s="1"/>
  <c r="F159" i="41" s="1"/>
  <c r="C160" i="33"/>
  <c r="C40" i="34"/>
  <c r="C41" i="34" s="1"/>
  <c r="D39" i="34"/>
  <c r="C26" i="34"/>
  <c r="C30" i="34" s="1"/>
  <c r="C29" i="34"/>
  <c r="C149" i="33" s="1"/>
  <c r="C49" i="17"/>
  <c r="C50" i="17" s="1"/>
  <c r="D50" i="34"/>
  <c r="D51" i="34" s="1"/>
  <c r="D53" i="34" s="1"/>
  <c r="D61" i="34" s="1"/>
  <c r="D21" i="34"/>
  <c r="D22" i="34" s="1"/>
  <c r="D26" i="34" s="1"/>
  <c r="C38" i="17"/>
  <c r="C39" i="17" s="1"/>
  <c r="I152" i="41" l="1"/>
  <c r="I153" i="41"/>
  <c r="I152" i="42"/>
  <c r="I153" i="42"/>
  <c r="F56" i="39"/>
  <c r="F62" i="39" s="1"/>
  <c r="F161" i="41" s="1"/>
  <c r="F56" i="40"/>
  <c r="F62" i="40" s="1"/>
  <c r="F161" i="42" s="1"/>
  <c r="F166" i="42" s="1"/>
  <c r="F104" i="42" s="1"/>
  <c r="G56" i="40"/>
  <c r="G62" i="40" s="1"/>
  <c r="G161" i="42" s="1"/>
  <c r="G58" i="42"/>
  <c r="G153" i="42"/>
  <c r="G63" i="42" s="1"/>
  <c r="F57" i="42"/>
  <c r="F152" i="42"/>
  <c r="F62" i="42" s="1"/>
  <c r="G57" i="42"/>
  <c r="G152" i="42"/>
  <c r="E163" i="42"/>
  <c r="E96" i="42"/>
  <c r="E166" i="42"/>
  <c r="E165" i="42"/>
  <c r="G93" i="42"/>
  <c r="E63" i="42"/>
  <c r="G94" i="42"/>
  <c r="F58" i="42"/>
  <c r="F153" i="42"/>
  <c r="F63" i="42" s="1"/>
  <c r="F93" i="42"/>
  <c r="E62" i="42"/>
  <c r="F94" i="42"/>
  <c r="G56" i="39"/>
  <c r="G62" i="39" s="1"/>
  <c r="G161" i="41" s="1"/>
  <c r="C40" i="17"/>
  <c r="C41" i="17" s="1"/>
  <c r="C59" i="17" s="1"/>
  <c r="C150" i="33"/>
  <c r="D160" i="33"/>
  <c r="C95" i="41"/>
  <c r="C22" i="17"/>
  <c r="C29" i="17" s="1"/>
  <c r="C149" i="18" s="1"/>
  <c r="C59" i="34"/>
  <c r="C44" i="34"/>
  <c r="C60" i="34" s="1"/>
  <c r="D40" i="34"/>
  <c r="D41" i="34" s="1"/>
  <c r="C57" i="33"/>
  <c r="D29" i="34"/>
  <c r="D30" i="34"/>
  <c r="E39" i="34"/>
  <c r="E21" i="34"/>
  <c r="E22" i="34" s="1"/>
  <c r="E50" i="34"/>
  <c r="E51" i="34" s="1"/>
  <c r="E53" i="34" s="1"/>
  <c r="E61" i="34" s="1"/>
  <c r="C51" i="17"/>
  <c r="C53" i="17" s="1"/>
  <c r="D20" i="17"/>
  <c r="D21" i="17" s="1"/>
  <c r="D22" i="17" s="1"/>
  <c r="D49" i="17"/>
  <c r="D50" i="17" s="1"/>
  <c r="E20" i="17"/>
  <c r="E21" i="17" s="1"/>
  <c r="E22" i="17" s="1"/>
  <c r="E49" i="17"/>
  <c r="E50" i="17" s="1"/>
  <c r="D39" i="17"/>
  <c r="C159" i="33" l="1"/>
  <c r="C94" i="33" s="1"/>
  <c r="C158" i="33"/>
  <c r="C93" i="33" s="1"/>
  <c r="G166" i="42"/>
  <c r="G104" i="42" s="1"/>
  <c r="I165" i="42"/>
  <c r="I166" i="42"/>
  <c r="I104" i="42" s="1"/>
  <c r="I164" i="42"/>
  <c r="I163" i="42"/>
  <c r="G62" i="42"/>
  <c r="I62" i="42"/>
  <c r="F165" i="42"/>
  <c r="F103" i="42" s="1"/>
  <c r="F163" i="42"/>
  <c r="F101" i="42" s="1"/>
  <c r="F164" i="42"/>
  <c r="F102" i="42" s="1"/>
  <c r="F96" i="42"/>
  <c r="G164" i="42"/>
  <c r="G102" i="42" s="1"/>
  <c r="G163" i="42"/>
  <c r="G101" i="42" s="1"/>
  <c r="G96" i="42"/>
  <c r="G165" i="42"/>
  <c r="G103" i="42" s="1"/>
  <c r="E104" i="42"/>
  <c r="E101" i="42"/>
  <c r="I63" i="42"/>
  <c r="E103" i="42"/>
  <c r="D40" i="17"/>
  <c r="D41" i="17" s="1"/>
  <c r="C26" i="17"/>
  <c r="C30" i="17" s="1"/>
  <c r="C150" i="18" s="1"/>
  <c r="D149" i="33"/>
  <c r="D57" i="41"/>
  <c r="D150" i="33"/>
  <c r="D95" i="41"/>
  <c r="E160" i="33"/>
  <c r="C152" i="41"/>
  <c r="C153" i="41"/>
  <c r="C44" i="17"/>
  <c r="C60" i="17" s="1"/>
  <c r="C159" i="18" s="1"/>
  <c r="C56" i="34"/>
  <c r="C62" i="34" s="1"/>
  <c r="D59" i="34"/>
  <c r="D44" i="34"/>
  <c r="D60" i="34" s="1"/>
  <c r="E40" i="34"/>
  <c r="E41" i="34" s="1"/>
  <c r="F39" i="34"/>
  <c r="F21" i="34"/>
  <c r="F22" i="34" s="1"/>
  <c r="F50" i="34"/>
  <c r="F51" i="34" s="1"/>
  <c r="F53" i="34" s="1"/>
  <c r="F61" i="34" s="1"/>
  <c r="C158" i="18"/>
  <c r="E26" i="34"/>
  <c r="E30" i="34" s="1"/>
  <c r="E29" i="34"/>
  <c r="C57" i="18"/>
  <c r="D51" i="17"/>
  <c r="E51" i="17"/>
  <c r="D29" i="17"/>
  <c r="D26" i="17"/>
  <c r="D30" i="17" s="1"/>
  <c r="E29" i="17"/>
  <c r="E26" i="17"/>
  <c r="E30" i="17" s="1"/>
  <c r="F49" i="17"/>
  <c r="F50" i="17" s="1"/>
  <c r="F20" i="17"/>
  <c r="F21" i="17" s="1"/>
  <c r="F22" i="17" s="1"/>
  <c r="E38" i="17"/>
  <c r="E39" i="17" s="1"/>
  <c r="D159" i="33" l="1"/>
  <c r="D94" i="33" s="1"/>
  <c r="D158" i="33"/>
  <c r="D93" i="33" s="1"/>
  <c r="C93" i="41"/>
  <c r="C161" i="33"/>
  <c r="C96" i="33" s="1"/>
  <c r="C163" i="41"/>
  <c r="C101" i="41" s="1"/>
  <c r="C94" i="41"/>
  <c r="C58" i="18"/>
  <c r="I101" i="42"/>
  <c r="I103" i="42"/>
  <c r="I102" i="42"/>
  <c r="D59" i="17"/>
  <c r="D158" i="18" s="1"/>
  <c r="D44" i="17"/>
  <c r="D60" i="17" s="1"/>
  <c r="D159" i="18" s="1"/>
  <c r="E40" i="17"/>
  <c r="E41" i="17" s="1"/>
  <c r="C56" i="17"/>
  <c r="C62" i="17" s="1"/>
  <c r="C161" i="18" s="1"/>
  <c r="E149" i="33"/>
  <c r="E57" i="33" s="1"/>
  <c r="E57" i="41"/>
  <c r="E150" i="33"/>
  <c r="C62" i="41"/>
  <c r="E95" i="41"/>
  <c r="F160" i="33"/>
  <c r="C63" i="41"/>
  <c r="D58" i="41"/>
  <c r="D153" i="41"/>
  <c r="D63" i="41" s="1"/>
  <c r="D152" i="41"/>
  <c r="D62" i="41" s="1"/>
  <c r="E59" i="34"/>
  <c r="E44" i="34"/>
  <c r="E60" i="34" s="1"/>
  <c r="F40" i="34"/>
  <c r="F41" i="34" s="1"/>
  <c r="D56" i="34"/>
  <c r="D62" i="34" s="1"/>
  <c r="G39" i="34"/>
  <c r="G21" i="34"/>
  <c r="G22" i="34" s="1"/>
  <c r="G50" i="34"/>
  <c r="G51" i="34" s="1"/>
  <c r="G53" i="34" s="1"/>
  <c r="G61" i="34" s="1"/>
  <c r="F29" i="34"/>
  <c r="F26" i="34"/>
  <c r="F30" i="34" s="1"/>
  <c r="E149" i="18"/>
  <c r="C152" i="18"/>
  <c r="D149" i="18"/>
  <c r="D57" i="33"/>
  <c r="C153" i="18"/>
  <c r="C63" i="18" s="1"/>
  <c r="E150" i="18"/>
  <c r="E58" i="18" s="1"/>
  <c r="D150" i="18"/>
  <c r="C58" i="33"/>
  <c r="C153" i="33"/>
  <c r="C152" i="33"/>
  <c r="C61" i="17"/>
  <c r="E53" i="17"/>
  <c r="E61" i="17" s="1"/>
  <c r="D53" i="17"/>
  <c r="D61" i="17" s="1"/>
  <c r="F51" i="17"/>
  <c r="F29" i="17"/>
  <c r="F26" i="17"/>
  <c r="F30" i="17" s="1"/>
  <c r="G20" i="17"/>
  <c r="G21" i="17" s="1"/>
  <c r="G22" i="17" s="1"/>
  <c r="G49" i="17"/>
  <c r="G50" i="17" s="1"/>
  <c r="F38" i="17"/>
  <c r="F39" i="17" s="1"/>
  <c r="C165" i="41" l="1"/>
  <c r="C103" i="41" s="1"/>
  <c r="D93" i="41"/>
  <c r="C166" i="41"/>
  <c r="C104" i="41" s="1"/>
  <c r="C96" i="41"/>
  <c r="C164" i="41"/>
  <c r="C102" i="41" s="1"/>
  <c r="E159" i="33"/>
  <c r="E94" i="33" s="1"/>
  <c r="D94" i="41"/>
  <c r="D161" i="33"/>
  <c r="D96" i="33" s="1"/>
  <c r="E158" i="33"/>
  <c r="E93" i="33" s="1"/>
  <c r="D57" i="18"/>
  <c r="C62" i="18"/>
  <c r="D56" i="17"/>
  <c r="D62" i="17" s="1"/>
  <c r="D161" i="18" s="1"/>
  <c r="E44" i="17"/>
  <c r="E60" i="17" s="1"/>
  <c r="E159" i="18" s="1"/>
  <c r="E59" i="17"/>
  <c r="E158" i="18" s="1"/>
  <c r="F40" i="17"/>
  <c r="F41" i="17" s="1"/>
  <c r="F149" i="33"/>
  <c r="F57" i="33" s="1"/>
  <c r="F57" i="41"/>
  <c r="G160" i="33"/>
  <c r="F95" i="41"/>
  <c r="F150" i="33"/>
  <c r="E58" i="41"/>
  <c r="E153" i="41"/>
  <c r="E63" i="41" s="1"/>
  <c r="E152" i="41"/>
  <c r="F44" i="34"/>
  <c r="F60" i="34" s="1"/>
  <c r="F59" i="34"/>
  <c r="G40" i="34"/>
  <c r="G41" i="34" s="1"/>
  <c r="E56" i="34"/>
  <c r="E62" i="34" s="1"/>
  <c r="E153" i="18"/>
  <c r="E63" i="18" s="1"/>
  <c r="E57" i="18"/>
  <c r="G29" i="34"/>
  <c r="G26" i="34"/>
  <c r="G30" i="34" s="1"/>
  <c r="F149" i="18"/>
  <c r="F57" i="18" s="1"/>
  <c r="E152" i="18"/>
  <c r="E62" i="18" s="1"/>
  <c r="D152" i="18"/>
  <c r="D62" i="18" s="1"/>
  <c r="D153" i="18"/>
  <c r="D63" i="18" s="1"/>
  <c r="D58" i="18"/>
  <c r="C160" i="18"/>
  <c r="D58" i="33"/>
  <c r="D152" i="33"/>
  <c r="D62" i="33" s="1"/>
  <c r="D153" i="33"/>
  <c r="D63" i="33" s="1"/>
  <c r="C62" i="33"/>
  <c r="D160" i="18"/>
  <c r="C63" i="33"/>
  <c r="E58" i="33"/>
  <c r="E152" i="33"/>
  <c r="E62" i="33" s="1"/>
  <c r="E153" i="33"/>
  <c r="E63" i="33" s="1"/>
  <c r="F150" i="18"/>
  <c r="E160" i="18"/>
  <c r="G51" i="17"/>
  <c r="F53" i="17"/>
  <c r="F61" i="17" s="1"/>
  <c r="G29" i="17"/>
  <c r="G26" i="17"/>
  <c r="G30" i="17" s="1"/>
  <c r="G38" i="17"/>
  <c r="G39" i="17" s="1"/>
  <c r="D166" i="41" l="1"/>
  <c r="D104" i="41" s="1"/>
  <c r="D96" i="41"/>
  <c r="F159" i="33"/>
  <c r="F94" i="33" s="1"/>
  <c r="D164" i="41"/>
  <c r="D102" i="41" s="1"/>
  <c r="D165" i="41"/>
  <c r="D103" i="41" s="1"/>
  <c r="E93" i="41"/>
  <c r="F158" i="33"/>
  <c r="F93" i="33" s="1"/>
  <c r="E94" i="41"/>
  <c r="D163" i="41"/>
  <c r="D101" i="41" s="1"/>
  <c r="E161" i="33"/>
  <c r="E96" i="33" s="1"/>
  <c r="E164" i="41"/>
  <c r="E102" i="41" s="1"/>
  <c r="C165" i="18"/>
  <c r="E56" i="17"/>
  <c r="E62" i="17" s="1"/>
  <c r="E161" i="18" s="1"/>
  <c r="E166" i="18" s="1"/>
  <c r="F59" i="17"/>
  <c r="F158" i="18" s="1"/>
  <c r="F44" i="17"/>
  <c r="F60" i="17" s="1"/>
  <c r="F159" i="18" s="1"/>
  <c r="G40" i="17"/>
  <c r="G41" i="17" s="1"/>
  <c r="G149" i="33"/>
  <c r="G57" i="41"/>
  <c r="E62" i="41"/>
  <c r="F58" i="41"/>
  <c r="F153" i="41"/>
  <c r="F63" i="41" s="1"/>
  <c r="F152" i="41"/>
  <c r="F62" i="41" s="1"/>
  <c r="G150" i="33"/>
  <c r="G95" i="41"/>
  <c r="C163" i="18"/>
  <c r="F56" i="34"/>
  <c r="F62" i="34" s="1"/>
  <c r="G59" i="34"/>
  <c r="G44" i="34"/>
  <c r="G60" i="34" s="1"/>
  <c r="D166" i="18"/>
  <c r="C166" i="18"/>
  <c r="F153" i="18"/>
  <c r="F63" i="18" s="1"/>
  <c r="D163" i="18"/>
  <c r="G149" i="18"/>
  <c r="C164" i="18"/>
  <c r="D165" i="18"/>
  <c r="D164" i="18"/>
  <c r="E95" i="33"/>
  <c r="C95" i="33"/>
  <c r="C163" i="33"/>
  <c r="C164" i="33"/>
  <c r="C166" i="33"/>
  <c r="C165" i="33"/>
  <c r="F160" i="18"/>
  <c r="F58" i="18"/>
  <c r="F58" i="33"/>
  <c r="F153" i="33"/>
  <c r="F63" i="33" s="1"/>
  <c r="F152" i="33"/>
  <c r="F152" i="18"/>
  <c r="F62" i="18" s="1"/>
  <c r="G150" i="18"/>
  <c r="G58" i="18" s="1"/>
  <c r="D95" i="33"/>
  <c r="D165" i="33"/>
  <c r="D103" i="33" s="1"/>
  <c r="D164" i="33"/>
  <c r="D102" i="33" s="1"/>
  <c r="D166" i="33"/>
  <c r="D104" i="33" s="1"/>
  <c r="D163" i="33"/>
  <c r="D101" i="33" s="1"/>
  <c r="G53" i="17"/>
  <c r="G61" i="17" s="1"/>
  <c r="E163" i="41" l="1"/>
  <c r="E101" i="41" s="1"/>
  <c r="E165" i="41"/>
  <c r="E103" i="41" s="1"/>
  <c r="G159" i="33"/>
  <c r="G94" i="33" s="1"/>
  <c r="F93" i="41"/>
  <c r="G158" i="33"/>
  <c r="G93" i="33" s="1"/>
  <c r="E166" i="41"/>
  <c r="E104" i="41" s="1"/>
  <c r="E96" i="41"/>
  <c r="F94" i="41"/>
  <c r="F161" i="33"/>
  <c r="F96" i="33" s="1"/>
  <c r="I153" i="18"/>
  <c r="G57" i="18"/>
  <c r="I152" i="18"/>
  <c r="I62" i="18" s="1"/>
  <c r="I153" i="33"/>
  <c r="G57" i="33"/>
  <c r="I152" i="33"/>
  <c r="F56" i="17"/>
  <c r="F62" i="17" s="1"/>
  <c r="F161" i="18" s="1"/>
  <c r="F165" i="18" s="1"/>
  <c r="G44" i="17"/>
  <c r="G60" i="17" s="1"/>
  <c r="G159" i="18" s="1"/>
  <c r="G59" i="17"/>
  <c r="G158" i="18" s="1"/>
  <c r="G58" i="41"/>
  <c r="G152" i="41"/>
  <c r="G153" i="41"/>
  <c r="G56" i="34"/>
  <c r="G62" i="34" s="1"/>
  <c r="E166" i="33"/>
  <c r="E104" i="33" s="1"/>
  <c r="E163" i="18"/>
  <c r="E164" i="18"/>
  <c r="E163" i="33"/>
  <c r="E101" i="33" s="1"/>
  <c r="E164" i="33"/>
  <c r="E102" i="33" s="1"/>
  <c r="E165" i="18"/>
  <c r="E165" i="33"/>
  <c r="E103" i="33" s="1"/>
  <c r="G153" i="18"/>
  <c r="G63" i="18" s="1"/>
  <c r="G160" i="18"/>
  <c r="G152" i="18"/>
  <c r="G58" i="33"/>
  <c r="G152" i="33"/>
  <c r="G62" i="33" s="1"/>
  <c r="G153" i="33"/>
  <c r="G63" i="33" s="1"/>
  <c r="F62" i="33"/>
  <c r="F95" i="33"/>
  <c r="C102" i="33"/>
  <c r="C103" i="33"/>
  <c r="C101" i="33"/>
  <c r="C104" i="33"/>
  <c r="F166" i="33" l="1"/>
  <c r="F104" i="33" s="1"/>
  <c r="G93" i="41"/>
  <c r="G161" i="33"/>
  <c r="I166" i="33" s="1"/>
  <c r="I164" i="41"/>
  <c r="I102" i="41" s="1"/>
  <c r="F166" i="41"/>
  <c r="F104" i="41" s="1"/>
  <c r="F96" i="41"/>
  <c r="F165" i="41"/>
  <c r="F103" i="41" s="1"/>
  <c r="F163" i="41"/>
  <c r="F101" i="41" s="1"/>
  <c r="F164" i="41"/>
  <c r="F102" i="41" s="1"/>
  <c r="G94" i="41"/>
  <c r="I63" i="33"/>
  <c r="I62" i="33"/>
  <c r="G62" i="41"/>
  <c r="G56" i="17"/>
  <c r="G62" i="17" s="1"/>
  <c r="G161" i="18" s="1"/>
  <c r="I164" i="18" s="1"/>
  <c r="I62" i="41"/>
  <c r="G63" i="41"/>
  <c r="I63" i="41"/>
  <c r="F166" i="18"/>
  <c r="F163" i="18"/>
  <c r="F164" i="18"/>
  <c r="F163" i="33"/>
  <c r="F101" i="33" s="1"/>
  <c r="F165" i="33"/>
  <c r="F103" i="33" s="1"/>
  <c r="F164" i="33"/>
  <c r="F102" i="33" s="1"/>
  <c r="I63" i="18"/>
  <c r="G62" i="18"/>
  <c r="G95" i="33"/>
  <c r="I99" i="18"/>
  <c r="B91" i="18"/>
  <c r="B101" i="18"/>
  <c r="B104" i="18"/>
  <c r="B93" i="18"/>
  <c r="B94" i="18"/>
  <c r="B102" i="18"/>
  <c r="B96" i="18"/>
  <c r="E92" i="18"/>
  <c r="B95" i="18"/>
  <c r="D95" i="18"/>
  <c r="C100" i="18"/>
  <c r="B99" i="18"/>
  <c r="C92" i="18"/>
  <c r="D100" i="18"/>
  <c r="B103" i="18"/>
  <c r="F100" i="18"/>
  <c r="F94" i="18"/>
  <c r="G92" i="18"/>
  <c r="D92" i="18"/>
  <c r="G95" i="18"/>
  <c r="F92" i="18"/>
  <c r="F95" i="18"/>
  <c r="E96" i="18"/>
  <c r="F96" i="18"/>
  <c r="G100" i="18"/>
  <c r="E95" i="18"/>
  <c r="E100" i="18"/>
  <c r="I164" i="33" l="1"/>
  <c r="I163" i="33"/>
  <c r="G96" i="33"/>
  <c r="I165" i="33"/>
  <c r="G166" i="41"/>
  <c r="G104" i="41" s="1"/>
  <c r="G96" i="41"/>
  <c r="I165" i="41"/>
  <c r="I103" i="41" s="1"/>
  <c r="I163" i="41"/>
  <c r="I101" i="41" s="1"/>
  <c r="I166" i="41"/>
  <c r="I104" i="41" s="1"/>
  <c r="G164" i="41"/>
  <c r="G102" i="41" s="1"/>
  <c r="G165" i="41"/>
  <c r="G103" i="41" s="1"/>
  <c r="G163" i="41"/>
  <c r="G101" i="41" s="1"/>
  <c r="G166" i="18"/>
  <c r="G104" i="18" s="1"/>
  <c r="I166" i="18"/>
  <c r="I104" i="18" s="1"/>
  <c r="I165" i="18"/>
  <c r="I163" i="18"/>
  <c r="G96" i="18"/>
  <c r="G165" i="18"/>
  <c r="G163" i="18"/>
  <c r="G164" i="18"/>
  <c r="I102" i="18" s="1"/>
  <c r="G164" i="33"/>
  <c r="G163" i="33"/>
  <c r="G166" i="33"/>
  <c r="G104" i="33" s="1"/>
  <c r="G165" i="33"/>
  <c r="G103" i="33" s="1"/>
  <c r="F93" i="18"/>
  <c r="G93" i="18"/>
  <c r="D93" i="18"/>
  <c r="E93" i="18"/>
  <c r="D104" i="18"/>
  <c r="C101" i="18"/>
  <c r="E102" i="18"/>
  <c r="C104" i="18"/>
  <c r="E104" i="18"/>
  <c r="F101" i="18"/>
  <c r="D102" i="18"/>
  <c r="C102" i="18"/>
  <c r="E103" i="18"/>
  <c r="F104" i="18"/>
  <c r="E101" i="18"/>
  <c r="F102" i="18"/>
  <c r="E94" i="18"/>
  <c r="D101" i="18"/>
  <c r="D96" i="18"/>
  <c r="D94" i="18"/>
  <c r="G94" i="18"/>
  <c r="C95" i="18"/>
  <c r="C94" i="18"/>
  <c r="F103" i="18"/>
  <c r="C103" i="18"/>
  <c r="D103" i="18"/>
  <c r="C96" i="18"/>
  <c r="C93" i="18"/>
  <c r="I101" i="33" l="1"/>
  <c r="I102" i="33"/>
  <c r="I101" i="18"/>
  <c r="I103" i="18"/>
  <c r="G103" i="18"/>
  <c r="G101" i="18"/>
  <c r="G102" i="18"/>
  <c r="G102" i="33"/>
  <c r="G101" i="33"/>
  <c r="I104" i="33"/>
  <c r="I103" i="33"/>
</calcChain>
</file>

<file path=xl/sharedStrings.xml><?xml version="1.0" encoding="utf-8"?>
<sst xmlns="http://schemas.openxmlformats.org/spreadsheetml/2006/main" count="1078" uniqueCount="349">
  <si>
    <t>2018/19</t>
  </si>
  <si>
    <t>2019/20</t>
  </si>
  <si>
    <t>2020/21</t>
  </si>
  <si>
    <t>2021/22</t>
  </si>
  <si>
    <t>2022/23</t>
  </si>
  <si>
    <t>https://obr.uk/download/march-2019-economic-and-fiscal-outlook-supplementary-economy-tables/
(Table 1.6)</t>
  </si>
  <si>
    <t xml:space="preserve"> </t>
  </si>
  <si>
    <t>http://landregistry.data.gov.uk/app/ppd/</t>
  </si>
  <si>
    <t>OBR (2019 Outlook Supplementary tables, 1.13)</t>
  </si>
  <si>
    <t>OBR (2019 Outlook Supplementary tables, 1.6)</t>
  </si>
  <si>
    <t>OBR (2019 Outlook Supplementary tables, 1.22)</t>
  </si>
  <si>
    <t>https://obr.uk/download/march-2019-economic-and-fiscal-outlook-supplementary-economy-tables/
(Table 1.13)</t>
  </si>
  <si>
    <t>https://www.ukfinance.org.uk/data-and-research/data/mortgages/regional-lending-trends</t>
  </si>
  <si>
    <t xml:space="preserve">Offeryn i Ddefnyddwyr: Amcangyfrifon o'r Angen am Dai yng Nghymru yn ôl Deiliadaeth (yn seiliedig ar 2018) </t>
  </si>
  <si>
    <t>Dyddiad Cyhoeddi:</t>
  </si>
  <si>
    <t>Manylion Cyswllt:</t>
  </si>
  <si>
    <t>Cyfarwyddiadau</t>
  </si>
  <si>
    <t>Mae'r holl gelloedd sy'n cynnig opsiwn i ddefnyddwyr ddewis neu fewnbynnu data wedi'u lliwio'n las.</t>
  </si>
  <si>
    <t>Ymwadiad</t>
  </si>
  <si>
    <t xml:space="preserve">Nid yw'r amcangyfrifon a gynhyrchwyd gan ddefnyddio'r Offeryn i Ddefnyddwyr: Amcangyfrifon o'r Angen am Dai yng Nghymru yn ôl Deiliadaeth yn ffigurau swyddogol a gynhyrchwyd nac a gymeradwywyd gan Lywodraeth Cymru. Mae gan ddefnyddwyr yr opsiwn i drawsysgrifo'r rhagdybiaethau sylfaenol i archwilio'r effaith y byddai'r newid yn ei gael ar yr amcangyfrifon. Nid targedau ar gyfer tai yw'r amcangyfrifon hyn. Amcangyfrifon o'r angen am dai yn ôl deiliadaeth wedi'u seilio ar set o ragdybiaethau ydynt. Wrth rannu unrhyw amcangyfrifon sydd wedi'u cynhyrchu gan yr offeryn pan fydd defnyddwyr wedi cyflwyno eu rhagdybiaethau eu hunain, rhaid i hynny gael ei ddatgan yn glir. 
</t>
  </si>
  <si>
    <t>Disgrifiad o'r Taflenni</t>
  </si>
  <si>
    <t>Enw</t>
  </si>
  <si>
    <t>Disgrifiad</t>
  </si>
  <si>
    <t>Canllawiau ar Newidynnau</t>
  </si>
  <si>
    <t>Yn rhestru'r newidynnau sydd eu hangen i'w rhannu yn ddeiliadaeth, pam y mae eu hangen a ffynhonnell y newidyn sydd wedi'i ragosod (os yw'n berthnasol)</t>
  </si>
  <si>
    <t>Rhaniad y Ddeiliadaeth (Cymru)</t>
  </si>
  <si>
    <t>Yn caniatáu i ddefnyddwyr archwilio amcangyfrifon o unedau tai ychwanegol yng Nghymru wedi'u rhannu yn ôl deiliadaeth (rhaniad o ddwy ddeiliadaeth a rhaniad o bedair deiliadaeth)</t>
  </si>
  <si>
    <t>Rhaniad y Ddeiliadaeth (Gogledd Cymru)</t>
  </si>
  <si>
    <t>Cyfrifiadau - Cymru</t>
  </si>
  <si>
    <t>Cyfrifiadau - Gogledd Cymru</t>
  </si>
  <si>
    <t>Amcanestyniadau o Aelwydydd</t>
  </si>
  <si>
    <t>Rhagdybiaethau Blynyddol</t>
  </si>
  <si>
    <t>Rhagolygon y Dyfodol</t>
  </si>
  <si>
    <t>Prisiau Rhenti</t>
  </si>
  <si>
    <t>Yr Angen Presennol nas Diwallwyd</t>
  </si>
  <si>
    <t>Incwm (Cymru)</t>
  </si>
  <si>
    <t>Incwm (Gogledd Cymru)</t>
  </si>
  <si>
    <t>Prisiau Tai (Cymru)</t>
  </si>
  <si>
    <t>Prisiau Tai (Gogledd Cymru)</t>
  </si>
  <si>
    <t>Angen sydd Newydd Ymddangos</t>
  </si>
  <si>
    <t>Map Rhanbarthol</t>
  </si>
  <si>
    <t>Yn caniatáu i ddefnyddwyr archwilio amcangyfrifon o unedau tai ychwanegol yng Ngogledd Cymru wedi'u rhannu yn ôl deiliadaeth (rhaniad o ddwy ddeiliadaeth a rhaniad o bedair deiliadaeth)</t>
  </si>
  <si>
    <t>Yn caniatáu i ddefnyddwyr archwilio amcangyfrifon o unedau tai ychwanegol yng Nghanolbarth a De-orllewin Cymru wedi'u rhannu yn ôl deiliadaeth (rhaniad o ddwy ddeiliadaeth a rhaniad o bedair deiliadaeth)</t>
  </si>
  <si>
    <t>Cyfrifiadau cam wrth gam o amcangyfrifon wedi'u rhannu yn ôl deiliadaeth (Cymru)</t>
  </si>
  <si>
    <t>Cyfrifiadau cam wrth gam o amcangyfrifon wedi'u rhannu yn ôl deiliadaeth (Gogledd Cymru)</t>
  </si>
  <si>
    <t>Yr holl ragdybiaethau sy'n gyson drwy gydol cyfnod o bum mlynedd yr amcangyfrifon</t>
  </si>
  <si>
    <t>Gwerthoedd Rhenti 30 Canradd a Chanolrifol ar gyfer Cymru a'r Rhanbarthau</t>
  </si>
  <si>
    <t>Lefelau amcan o'r angen presennol nas diwallwyd yng Nghymru a'r Rhanbarthau</t>
  </si>
  <si>
    <t>Dosbarthiad incwm gros yr aelwyd ar gyfer Cymru</t>
  </si>
  <si>
    <t>Dosbarthiad incwm gros yr aelwyd ar gyfer Gogledd Cymru</t>
  </si>
  <si>
    <t>Dosbarthiad prisiau tai yng Nghymru, Gorffennaf 2017 - Mehefin 2018</t>
  </si>
  <si>
    <t>Dosbarthiad prisiau tai yng Ngogledd Cymru, Gorffennaf 2017 - Mehefin 2018</t>
  </si>
  <si>
    <t>Angen sydd Newydd Ymddangos, sy'n deillio o amcanestyniadau aelwydydd</t>
  </si>
  <si>
    <t>Map o'r tair rhanbarth economaidd yng Nghymru</t>
  </si>
  <si>
    <t>Dolenni defnyddiol</t>
  </si>
  <si>
    <t>Erthygl Ystadegol ar Raniad Deiliadaeth Amcangyfrifon Tai</t>
  </si>
  <si>
    <t xml:space="preserve">Erthygl Ystadegol ar Gyfanswm yr Unedau Tai Ychwanegol </t>
  </si>
  <si>
    <t>Rhaniad y Ddeiliadaeth (Canolbarth a De-orllewin Cymru)</t>
  </si>
  <si>
    <t>Rhaniad y Ddeiliadaeth (De-ddwyrain Cymru)</t>
  </si>
  <si>
    <t>Cyfrifiadau - Canolbarth a De-orllewin Cymru</t>
  </si>
  <si>
    <t>Cyfrifiadau - De-ddwyrain Cymru</t>
  </si>
  <si>
    <t>Incwm (Canolbarth a De-orllewin Cymru)</t>
  </si>
  <si>
    <t>Incwm (De-ddwyrain Cymru)</t>
  </si>
  <si>
    <t>Prisiau Tai (Canolbarth a De-orllewin Cymru)</t>
  </si>
  <si>
    <t>Prisiau Tai (De-ddwyrain Cymru)</t>
  </si>
  <si>
    <t>Cyfrifiadau cam wrth gam o amcangyfrifon wedi'u rhannu yn ôl deiliadaeth (Canolbarth a De-orllewin Cymru)</t>
  </si>
  <si>
    <t>Cyfrifiadau cam wrth gam o amcangyfrifon wedi'u rhannu yn ôl deiliadaeth (De-ddwyrain Cymru)</t>
  </si>
  <si>
    <t>Yn caniatáu i ddefnyddwyr archwilio amcangyfrifon o unedau tai ychwanegol yn Ne-ddwyrain Cymru wedi'u rhannu yn ôl deiliadaeth (rhaniad o ddwy ddeiliadaeth a rhaniad o bedair deiliadaeth)</t>
  </si>
  <si>
    <t>Dosbarthiad incwm gros yr aelwyd ar gyfer Canolbarth a De-orllewin Cymru</t>
  </si>
  <si>
    <t>Dosbarthiad incwm gros yr aelwyd ar gyfer De-ddwyrain Cymru</t>
  </si>
  <si>
    <t>Dosbarthiad prisiau tai yng Nghanolbarth a De-orllewin Cymru, Gorffennaf 2017 - Mehefin 2018</t>
  </si>
  <si>
    <t>Dosbarthiad prisiau tai yn Ne-ddwyrain Cymru, Gorffennaf 2017 - Mehefin 2018</t>
  </si>
  <si>
    <t>Mae'r daflen hon yn cynnig arweiniad ar bob un o'r newidynnau sydd eu hangen i gynhyrchu amcangyfrifon yn ôl rhaniad y ddeiliadaeth.</t>
  </si>
  <si>
    <t>Mae angen y newidynnau hyn i gynhyrchu amcangyfrifon wedi'u rhannu yn ddwy ddeiliadaeth (ar y farchnad a fforddiadwy).</t>
  </si>
  <si>
    <t>Newidyn</t>
  </si>
  <si>
    <t>Disgrifiad o'r newidyn</t>
  </si>
  <si>
    <t>Sylwadau ar y Newidyn sydd wedi'i Ragosod</t>
  </si>
  <si>
    <t>Ffynhonnell y Newidyn sydd wedi'i Ragosod</t>
  </si>
  <si>
    <t>Ffynonellau Data (rhaniad 2 ddeiliadaeth)</t>
  </si>
  <si>
    <t>Incwm yr Aelwyd</t>
  </si>
  <si>
    <t>Prisiau Rhenti Preifat</t>
  </si>
  <si>
    <t>Meini Prawf Fforddiadwyedd (Marchnad)</t>
  </si>
  <si>
    <t>Blynyddoedd i gael gwared ar yr ôl-groniad</t>
  </si>
  <si>
    <t>Newid i Incwm Canolrifol yr Aelwyd</t>
  </si>
  <si>
    <t>Newid i Ddosbarthiad Incwm yr Aelwyd</t>
  </si>
  <si>
    <t>Newid i brisiau rhenti</t>
  </si>
  <si>
    <t>Dosbarthiad Prisiau Tai</t>
  </si>
  <si>
    <t>Prynwyr sy'n mynd ymlaen i brynu eiddo am y tro cyntaf (nid oes newidyn wedi'i ragosod)</t>
  </si>
  <si>
    <t>Cymhareb Incwm Prynwyr am y Tro Cyntaf</t>
  </si>
  <si>
    <t>Canradd y Prynwyr sy'n Prynu Eiddo am y Tro Cyntaf</t>
  </si>
  <si>
    <t>Meini Prawf Fforddiadwyedd (Cymdeithasol)</t>
  </si>
  <si>
    <t>Newid i brisiau tai</t>
  </si>
  <si>
    <t>Defnyddir Amcanestyniadau Aelwydydd sy'n seiliedig ar 2014 gan Lywodraeth Cymru fel y ffynhonnell sydd wedi'i rhagosod ar gyfer lefel genedlaethol a lefel ranbarthol. Mae gan ddefnyddwyr yr opsiwn i ddewis amrywiolyn amcanestyniadau aelwydydd y maent yn ei ddefnyddio. Ceir diffiniadau llawn o'r gwahanol amrywiolion yn yr erthygl ystadegol gyntaf.</t>
  </si>
  <si>
    <t>Mae'r amcangyfrifon sydd wedi'u rhagosod o'r angen presennol nas diwallwyd yn cynnwys dwy agwedd: aelwydydd digartref mewn llety dros dro (ciplun ar ddiwedd mis Mehefin 2018) ac aelwydydd sy'n orlawn ac yn gudd (Cyfrifiad 2011).</t>
  </si>
  <si>
    <t>At ddibenion y gwaith hwn, caiff incwm yr aelwyd ei ddiffinio'n incwm gros yr aelwyd nad yw'n cyfrif cyfwerthedd ar gyfer pob oedolyn sy'n byw yn yr aelwyd, yn deillio o gwestiynau manwl ar incwm yn Arolwg Cenedlaethol Cymru 2017. Mae hynny'n cynnwys budd-daliadau a lwfansau sy'n gysylltiedig â thai.</t>
  </si>
  <si>
    <t>Defnyddir Data ar Renti Preifat a gasglwyd gan swyddogion rhenti Llywodraeth Cymru fel y data wedi'u rhagosod. Mae'r gwerthoedd canolrifol a 30 canradd wedi'u cymryd o Orffennaf 2017 - Mehefin 2018.</t>
  </si>
  <si>
    <t>Y dybiaeth ragosod yw y bydd yn cymryd 5 mlynedd i gael gwared ar yr ôl-groniad o angen presennol nas diwallwyd.  Casgliad y grŵp technegol oedd ei bod yn rhesymol i dybio y dylid cael gwared ar yr angen presennol o fewn 5 mlynedd.</t>
  </si>
  <si>
    <t xml:space="preserve">Mae data ar brisiau tai ar gael drwy set ddata Cofrestrfa Tir ar brisiau a dalwyd. </t>
  </si>
  <si>
    <t>Mae Cyllid y DU (a adwaenir gynt fel Cyngor Benthycwyr Morgeisi) yn cyhoeddi ffigurau chwarterol ar lefel Cymru.</t>
  </si>
  <si>
    <t>O gymharu'r pris cyfartalog a dalwyd gan brynwyr am y tro cyntaf yng Nghymru yn ôl yr hyn a gyhoeddwyd gan y Swyddfa Ystadegau Gwladol â dosbarthiad set ddata Cofrestrfa Tir ar brisiau a dalwyd, mae prynwyr am y tro cyntaf yng Nghymru yn tueddu i allu prynu eiddo am y tro cyntaf yn ôl 40 canradd.</t>
  </si>
  <si>
    <t>Ni chanfuwyd tystiolaeth gadarn er mwyn gwneud rhagdybiaeth gredadwy am y newidyn hwn yng Nghymru. Rhaid i ddefnyddwyr gyflwyno eu gwerth eu hunain i weld amcangyfrifon wedi'u rhannu yn bedair deiliadaeth.</t>
  </si>
  <si>
    <t xml:space="preserve">Mae'r Swyddfa Cyfrifoldeb Cyllidebol (OBR) yn cynhyrchu rhagolygon o brisiau tai ar gyfer y DU. </t>
  </si>
  <si>
    <t>https://llyw.cymru/amcanestyniadau-aelwydydd-awdurdodau-lleol-sail-2014</t>
  </si>
  <si>
    <t>https://llyw.cymru/rhenti-yn-y-sector-preifat-2017</t>
  </si>
  <si>
    <t>https://llyw.cymru/angen-ar-galw-am-dai-sail-2018</t>
  </si>
  <si>
    <t>https://statscymru.llyw.cymru/Catalogue/Housing/Homelessness/Temporary-Accommodation/householdsaccommodatedtemporarily-by-accommodationtype-householdtype 
https://cy.ons.gov.uk/peoplepopulationandcommunity/housing/adhocs/008905ct08512011census?:uri=peoplepopulationandcommunity/housing/adhocs/008905ct08512011census</t>
  </si>
  <si>
    <t>I ragweld tyfiant incwm yr aelwyd</t>
  </si>
  <si>
    <t xml:space="preserve">I ragweld sut y bydd dosbarthiad incwm yr aelwyd yn newid dros amser. </t>
  </si>
  <si>
    <t xml:space="preserve">I ragweld tyfiant prisiau rhenti preifat. </t>
  </si>
  <si>
    <t xml:space="preserve">Mae angen y newidynnau ychwanegol hyn i gynhyrchu amcangyfrifon wedi'u rhannu yn bedair deiliadaeth (perchen-feddiannydd, rhent preifat, rhent canolradd a chymdeithasol). </t>
  </si>
  <si>
    <t>I ragweld tyfiant mewn prisiau tai.</t>
  </si>
  <si>
    <t xml:space="preserve">Defnyddir y newidyn hwn ar y cyd gyda'r uchod i ddarganfod faint o incwm yr aelwyd sydd angen i Brynwyr am y Tro Cyntaf fedru prynu tŷ. </t>
  </si>
  <si>
    <t>Mae angen y newidyn hwn er mwyn rhannu'r farchnad tai i berchen-feddianwyr a rhenti preifat. Y gymhareb fforddiadwyedd yw sawl gwaith eu hincwm y gall prynwyr tro cyntaf ddisgwyl talu am dŷ.</t>
  </si>
  <si>
    <t>Canllawiau ar y Newidynnau</t>
  </si>
  <si>
    <t xml:space="preserve">Rhagdybiaethau 5 mlynedd (rhaniad 2 ddeiliadaeth) </t>
  </si>
  <si>
    <t xml:space="preserve"> Mae'r newidyn hwn yn ystyried na fydd pob aelwyd sy'n medru fforddio prynu tŷ (yn seiliedig ar y rhagdybiaeth uchod) mewn gwirionedd yn parhau i wneud hynny, unai drwy ddewis neu amgylchiad</t>
  </si>
  <si>
    <t>Lefel Ddaearyddol:</t>
  </si>
  <si>
    <t>Cymru</t>
  </si>
  <si>
    <t>Dewislen</t>
  </si>
  <si>
    <t>Cyfarwyddiadau/Gwirio</t>
  </si>
  <si>
    <t>Gogledd Cymru</t>
  </si>
  <si>
    <t>Canolbarth a De-orllewin Cymru</t>
  </si>
  <si>
    <t>De-ddwyrain Cymru</t>
  </si>
  <si>
    <t xml:space="preserve">Mae'r dewisiadau a wnaed ar daflen: Rhaniad y Ddeiliadaeth (Cymru) yn cael eu cadw yn y taflenni rhanbarthol. Os byddwch wedi dewis defnyddio eich data eich hunain, ac nad ydych wedi nodi'r data rhanbarthol lle y mae angen eu rhoi, cewch eich atgoffa i wneud hynny. </t>
  </si>
  <si>
    <t>Rhagdybiaethau Blynyddol Penodol (rhaniad 2ddeiliadaeth)</t>
  </si>
  <si>
    <t>Rhagdybiaethau Blynyddol Penodol (rhaniad 2 ddeiliadaeth)</t>
  </si>
  <si>
    <t>Angen Nas Diwallwyd Presennol</t>
  </si>
  <si>
    <t>Blynyddoedd i gael gwared ar yr ôl groniad</t>
  </si>
  <si>
    <t>Blynyddoedd i Gael Gwared ar yr Ôl Groniad</t>
  </si>
  <si>
    <t xml:space="preserve">Newid i Ddosbarthiad Incwm yr Aelwyd </t>
  </si>
  <si>
    <t>Newid i Brisiau Rhenti</t>
  </si>
  <si>
    <t>Prynwyr sy'n mynd ymlaen i brynu eiddo am y tro cyntaf (nid oes rhagosodyn)</t>
  </si>
  <si>
    <t>Y Cynnydd i Brisiau Tai</t>
  </si>
  <si>
    <t>Rhagdybiaethau yr Aelwyd</t>
  </si>
  <si>
    <t>Arall</t>
  </si>
  <si>
    <t>Wedi'i ragosod</t>
  </si>
  <si>
    <t>Amcangyfrifon LlC</t>
  </si>
  <si>
    <t>Prif</t>
  </si>
  <si>
    <t>Ymfudo Sero</t>
  </si>
  <si>
    <t>Ymfudo Deng Mlynedd</t>
  </si>
  <si>
    <t>Newidyn Is</t>
  </si>
  <si>
    <t>Newidyn Uwch</t>
  </si>
  <si>
    <t>Angen Sydd Newydd Ymddangos</t>
  </si>
  <si>
    <r>
      <t xml:space="preserve">Mae'r daflen hon yn defnyddio amcanestyniadau aelwydydd i gyfrifo faint o aelwydydd sydd newydd ymddangos bob blwyddyn (y gwahaniaeth yn yr amcanestyniadau o aelwydydd o un flwyddyn i'r llall). </t>
    </r>
    <r>
      <rPr>
        <b/>
        <sz val="10"/>
        <color theme="1"/>
        <rFont val="Arial"/>
        <family val="2"/>
      </rPr>
      <t>Nid oes angen ichi roi unrhyw beth ar y daflen hon.</t>
    </r>
    <r>
      <rPr>
        <sz val="10"/>
        <color theme="1"/>
        <rFont val="Arial"/>
        <family val="2"/>
      </rPr>
      <t xml:space="preserve"> Os byddwch wedi cofnodi eich amcanestyniadau eich hunain o aelwydydd, bydd yr angen sydd newydd ymddangos yn cael ei gyfrifo ar sail eich data.</t>
    </r>
  </si>
  <si>
    <t>Canradd</t>
  </si>
  <si>
    <t>Dosbarthiad prisiau tai defnyddwyr</t>
  </si>
  <si>
    <t>Dosbarthiad Prisiau Tai Wedi'i Ragosod (De-ddwyrain Cymru)</t>
  </si>
  <si>
    <t>Dosbarthiad Prisiau Tai Wedi'i Ragosod (Canolbarth a De-orllewin Cymru)</t>
  </si>
  <si>
    <t>Dosbarthiad Incwm Wedi'i Ragosod (De-ddwyrain Cymru)</t>
  </si>
  <si>
    <t>Dosbarthiad Incwm Wedi'i Ragosod (Canolbarth a De-orllewin Cymru)</t>
  </si>
  <si>
    <t xml:space="preserve">Mae'r daflen hon yn cynnwys y rhagdybiaethau wedi'u rhagosod (fel sy'n cael ei egluro yn y daflen canllawiau ar newidynnau) ar gyfer amcangyfrifon o'r angen presennol nas diwallwyd. Os byddwch wedi dewis mewngofnodi eich data eich hunain, cewch eich atgoffa o dan y newidynnau perthnasol i roi eich data. Cyfeiriwch at y Canllawiau ar Newidynnau i gael rhagor o wybodaeth.  </t>
  </si>
  <si>
    <t>Angen Presennol Nas Diwallwyd</t>
  </si>
  <si>
    <t>Cyfanswm</t>
  </si>
  <si>
    <t>Amcangyfrifon Defnyddwyr</t>
  </si>
  <si>
    <t>Gogledd</t>
  </si>
  <si>
    <t>Canolbarth a De-orllewin</t>
  </si>
  <si>
    <t>De-ddwyrain</t>
  </si>
  <si>
    <t>Cyfanswm Cymru</t>
  </si>
  <si>
    <t>…ac o hyn, y rheini sy'n Aelwydydd Digartref mewn Llety Dros Dro</t>
  </si>
  <si>
    <t>…ac o hyn, y rheini sy'n Gudd neu'n Orlawn</t>
  </si>
  <si>
    <t>Incwm</t>
  </si>
  <si>
    <t>Prisiau Tai</t>
  </si>
  <si>
    <t>3. Newid i brisiau tai</t>
  </si>
  <si>
    <t>4. Newid i brisiau rhent preifat</t>
  </si>
  <si>
    <t xml:space="preserve">2. Newid I ddosbarthiad incwm yr aelwyd </t>
  </si>
  <si>
    <t>1. Newid i incwm canolrifol yr aelwyd</t>
  </si>
  <si>
    <t xml:space="preserve">Mae'r daflen hon yn cynnwys y rhagdybiaethau wedi'u rhagosod (fel sy'n cael ei egluro yn y daflen canllawiau ar newidynnau) ar gyfer y newidynnau hynny a all gael ffigur blynyddol gwahanol. Os byddwch wedi dewis mewngofnodi eich data eich hunain, cewch eich atgoffa o dan y newidynnau perthnasol i roi eich data. Cyfeiriwch at y Canllawiau ar Newidynnau i gael rhagor o wybodaeth. </t>
  </si>
  <si>
    <t>Rhagolygon defnyddwyr</t>
  </si>
  <si>
    <t>Dim newid</t>
  </si>
  <si>
    <t xml:space="preserve">Mwy o Anghydraddoldeb </t>
  </si>
  <si>
    <t xml:space="preserve">Mae'r daflen hon yn cynnwys y rhagdybiaethau wedi'u rhagosod (fel sy'n cael ei egluro yn y daflen canllawiau ar newidynnau) ar gyfer yr holl newidynnau sy'n aros yr un fath dros gyfnod yr amcangyfrifon. Os byddwch wedi dewis mewngofnodi eich data eich hunain, cewch eich atgoffa o dan y newidynnau perthnasol i roi eich data. Cyfeiriwch at y Canllawiau ar Newidynnau i gael rhagor o wybodaeth. </t>
  </si>
  <si>
    <t>Gwerth Defnyddiwr</t>
  </si>
  <si>
    <t>Wedi'i ragosod (1)</t>
  </si>
  <si>
    <t>Wedi'i ragosod (2)</t>
  </si>
  <si>
    <t>Amcanestyniad Defnyddwyr</t>
  </si>
  <si>
    <t>Amcanestyniadau Aelwydydd</t>
  </si>
  <si>
    <r>
      <t xml:space="preserve">Mae'r daflen hon yn defnyddio'r set o ragdybiaethau i gyfrifo faint o aelwydydd a fyddai'n addas ar gyfer pob deiliadaeth tŷ ym mhob blwyddyn. Caiff y canlyniadau yn y daflen hon eu bwydo i'r daflen Rhaniad y Ddeiliadaeth (Cymru). </t>
    </r>
    <r>
      <rPr>
        <b/>
        <sz val="10"/>
        <color theme="1"/>
        <rFont val="Arial"/>
        <family val="2"/>
      </rPr>
      <t>Nid oes</t>
    </r>
    <r>
      <rPr>
        <sz val="10"/>
        <color theme="1"/>
        <rFont val="Arial"/>
        <family val="2"/>
      </rPr>
      <t xml:space="preserve"> </t>
    </r>
    <r>
      <rPr>
        <b/>
        <sz val="10"/>
        <color theme="1"/>
        <rFont val="Arial"/>
        <family val="2"/>
      </rPr>
      <t>angen ichi roi unrhyw beth ar y daflen hon</t>
    </r>
    <r>
      <rPr>
        <sz val="10"/>
        <color theme="1"/>
        <rFont val="Arial"/>
        <family val="2"/>
      </rPr>
      <t xml:space="preserve">. Os bydd gennych unrhyw gofnodion o ddata na chwblhawyd ar unrhyw newidynnau, bydd cyfeiliornadau'n digwydd. </t>
    </r>
  </si>
  <si>
    <t>Unedau Tai Ychwanegol</t>
  </si>
  <si>
    <t>Rhaniad y Ddeiliadaeth: Tai Fforddiadwy ac ar y Farchnad</t>
  </si>
  <si>
    <t>Rhent Preifat Canolrifol</t>
  </si>
  <si>
    <t>Tai ar y Farchnad</t>
  </si>
  <si>
    <t>Isafswm Incwm yr Aelwyd</t>
  </si>
  <si>
    <t>Canradd dosbarthiad incwm</t>
  </si>
  <si>
    <t xml:space="preserve"> Canran angen sydd newydd ymddangos sy'n gallu fforddio</t>
  </si>
  <si>
    <t>Tai Fforddiadwy</t>
  </si>
  <si>
    <t>Amcangyfrifon</t>
  </si>
  <si>
    <t>Tai'r Farchnad Agored</t>
  </si>
  <si>
    <t>Rhaniad y Ddeiliadaeth: Perchen-feddianwyr, Y Sector Rhentu Preifat, Rhent Canolradd a Chymdeithasol</t>
  </si>
  <si>
    <t>NODWCH: OS NAD YDYCH WEDI CWBLHAU OPSIYNAU'R DDEWISLEN, BYDD CYFEILIORNADAU'N DIGWYDD ISOD</t>
  </si>
  <si>
    <t>Perchen-feddiannydd</t>
  </si>
  <si>
    <t>Y Sector Rhentu Preifat</t>
  </si>
  <si>
    <t>Tai Cymdeithasol</t>
  </si>
  <si>
    <t>Tai Canolradd</t>
  </si>
  <si>
    <t>Perchen-Feddiannydd</t>
  </si>
  <si>
    <t>Cyfanswm yr aelwydydd sy'n addas ar gyfer rhent cymdeithasol</t>
  </si>
  <si>
    <t>Aelwydydd o ran Angen Presennol nas Diwallwyd</t>
  </si>
  <si>
    <t>Aelwydydd o ran Angen sydd Newydd Ymddangos</t>
  </si>
  <si>
    <t>Canran angen sydd newydd ymddangos sy'n addas ar gyfer rhent cymdeithasol</t>
  </si>
  <si>
    <t>Trothwy Uwch incwm yr aelwyd</t>
  </si>
  <si>
    <t>Lefel Ddaearyddol</t>
  </si>
  <si>
    <t>Dolenni defnyddiol i daenlenni eraill:</t>
  </si>
  <si>
    <t>Crynodeb o Ragdybiaethau a Ddewiswyd gan Ddefnyddwyr – Cymru</t>
  </si>
  <si>
    <t>Dewiswch o'r ddewislen</t>
  </si>
  <si>
    <t>Defnyddiwyd Data Wedi'i Ragosod</t>
  </si>
  <si>
    <t>Rhowch ddata'r defnyddiwr ar y daflen:</t>
  </si>
  <si>
    <t>Sylwadau</t>
  </si>
  <si>
    <t>Amcanestyniadau o Aelwyd</t>
  </si>
  <si>
    <t>Dosbarthiad Incwm</t>
  </si>
  <si>
    <t>Cymhareb Prynwyr am y Tro Cyntaf</t>
  </si>
  <si>
    <t>Prynwyr sy'n prynu eiddo am y tro cyntaf</t>
  </si>
  <si>
    <t>% sy'n mynd ymlaen i brynu</t>
  </si>
  <si>
    <t>Trothwy Y Sector Rhentu Preifat</t>
  </si>
  <si>
    <t>Newid i Brisiau Tai</t>
  </si>
  <si>
    <t>Trothwy Cymdeithasol</t>
  </si>
  <si>
    <t>Yn dilyn yr uchod, caiff yr amcangyfrifon eu rhannu ymhellach yn bedair deiliadaeth. Caiff yr amcangyfrifon hyn eu cynhyrchu gan y defnyddiwr, ac maent yn seiliedig ar y rhagdybiaethau canlynol.</t>
  </si>
  <si>
    <t xml:space="preserve">Mae amcangyfrifon sylfaenol yr unedau tai ychwanegol wedi'u seilio ar  </t>
  </si>
  <si>
    <t xml:space="preserve">, ac amcangyfrif o </t>
  </si>
  <si>
    <t>Paragraff Terfynol - 2 ddeiliadaeth</t>
  </si>
  <si>
    <t>Tai'r Farchnad</t>
  </si>
  <si>
    <t>Y Cynnydd i Incwm yr Aelwyd</t>
  </si>
  <si>
    <t>Newid i ddosbarthiad incwm</t>
  </si>
  <si>
    <t>Y Cynnydd i Brisiau Rhenti Preifat</t>
  </si>
  <si>
    <t>Rhenti Canolrifol Blynyddol</t>
  </si>
  <si>
    <t>Prynwyr sy'n mynd ymlaen i brynu eiddo am y tro cyntaf</t>
  </si>
  <si>
    <t>Gwiriad Camgymeriadau - Newidynnau 2 Ddeiliadaeth</t>
  </si>
  <si>
    <t>Ffynonellau Data</t>
  </si>
  <si>
    <t>Problem?</t>
  </si>
  <si>
    <t>Gwerthoedd Blynyddol Penodol</t>
  </si>
  <si>
    <t>Rhagolygon 5 Mlynedd</t>
  </si>
  <si>
    <t>Prynwyr Sy'n Prynu Eiddo am y Tro Cyntaf</t>
  </si>
  <si>
    <t>% sy'n mynd ymlaen I brynu</t>
  </si>
  <si>
    <t>Problemau Cyffredinol - 2 Ddeiliadaeth</t>
  </si>
  <si>
    <t>Amcangyfrifon - Rhaniad 2 Ddeiliadaeth</t>
  </si>
  <si>
    <t>Wedi'i gwblhau?</t>
  </si>
  <si>
    <t>Crynodeb o Ragdybiaethau a Ddewiswyd gan Ddefnyddwyr – Gogledd Cymru</t>
  </si>
  <si>
    <t xml:space="preserve">Problem? </t>
  </si>
  <si>
    <t>Dewiswch o'r ddewislen ar daflen Rhaniad y Ddeiliadaeth (Cymru)</t>
  </si>
  <si>
    <t>Data'r defnyddiwr wedi'i fewnbynnu</t>
  </si>
  <si>
    <t>Crynodeb o Ragdybiaethau a Ddewiswyd gan Ddefnyddwyr – Canolbarth a De-orllewin Cymru</t>
  </si>
  <si>
    <t>Crynodeb o Ragdybiaethau a Ddewiswyd gan Ddefnyddwyr – De-ddwyrain Cymru</t>
  </si>
  <si>
    <t>Rhaniad o 2 Ddeiliadaeth a amcangyfrifir - Canolbarth a De-orllewin Cymru (yn seiliedig ar ragdybiaethau defnyddwyr)</t>
  </si>
  <si>
    <t>Rhaniad o 2 Ddeiliadaeth a amcangyfrifir - De-ddwyrain Cymru (yn seiliedig ar ragdybiaethau defnyddwyr)</t>
  </si>
  <si>
    <t>Rhaniad o 2 Ddeiliadaeth a amcangyfrifir - Gogledd Cymru (yn seiliedig ar ragdybiaethau defnyddwyr)</t>
  </si>
  <si>
    <t>Rhaniad o 2 Ddeiliadaeth a amcangyfrifir - Cymru (yn seiliedig ar ragdybiaethau defnyddwyr)</t>
  </si>
  <si>
    <t xml:space="preserve"> Rhaniad Cymesur o 2 Ddeiliadaeth - Cymru (yn seiliedig ar ragdybiaethau defnyddwyr)</t>
  </si>
  <si>
    <t xml:space="preserve"> Rhaniad Cymesur o 2 Ddeiliadaeth - Gogledd Cymru (yn seiliedig ar ragdybiaethau defnyddwyr)</t>
  </si>
  <si>
    <t xml:space="preserve"> Rhaniad Cymesur o 2 Ddeiliadaeth - Canolbarth a De-orllewin Cymru (yn seiliedig ar ragdybiaethau defnyddwyr)</t>
  </si>
  <si>
    <t xml:space="preserve"> Rhaniad Cymesur o 2 Ddeiliadaeth - De-ddwyrain Cymru (yn seiliedig ar ragdybiaethau defnyddwyr)</t>
  </si>
  <si>
    <t>Rhenti 30 Canradd Blynyddol</t>
  </si>
  <si>
    <t>Amser i gael gwared ar yr ôl groniad</t>
  </si>
  <si>
    <t xml:space="preserve">Mae data ar brisiau tai yn seiliedig ar </t>
  </si>
  <si>
    <t xml:space="preserve">Mae data ar incwm yn seiliedig ar </t>
  </si>
  <si>
    <t xml:space="preserve">ac mae data ar renti preifat yn seiliedig ar </t>
  </si>
  <si>
    <t>Gweddill yr aelwydydd na all fforddio'r farchnad</t>
  </si>
  <si>
    <t xml:space="preserve">Cyfanswm yr aelwydydd sydd newydd ymddangos a all fforddio'r farchnad </t>
  </si>
  <si>
    <t>Canran angen sydd newydd ymddangos sy'n gallu fforddio</t>
  </si>
  <si>
    <t>Canran sy'n gallu fforddio mynd ymlaen i brynu eiddo</t>
  </si>
  <si>
    <t>Llai y rheini sy'n mynd ymlaen i brynu eiddo (ar gyfer rhaniad o bedair deiliadaeth)</t>
  </si>
  <si>
    <t>30 Canradd Rhenti Preifat</t>
  </si>
  <si>
    <t>Canran y Prynwyr am y Tro Cyntaf sy'n mynd ymlaen i brynu eiddo</t>
  </si>
  <si>
    <t>Prif Amcanestyniadau</t>
  </si>
  <si>
    <t>Amcanestyniadau Defnyddwyr</t>
  </si>
  <si>
    <t xml:space="preserve">Dyma'r hyd amser fydd angen i ddiwallu'r holl aelwydydd a chanddynt angen presennol nas diwallwyd. </t>
  </si>
  <si>
    <r>
      <t xml:space="preserve">Mae angen y newidynnau hyn i gynhyrchu amcangyfrifon wedi'u rhannu yn </t>
    </r>
    <r>
      <rPr>
        <b/>
        <sz val="10"/>
        <color theme="1"/>
        <rFont val="Arial"/>
        <family val="2"/>
      </rPr>
      <t>ddwy deiliadaeth</t>
    </r>
    <r>
      <rPr>
        <sz val="10"/>
        <color theme="1"/>
        <rFont val="Arial"/>
        <family val="2"/>
      </rPr>
      <t xml:space="preserve"> (ar y farchnad a fforddiadwy). 
Mae'r daenlen "Canllawiau ar Newidynnau" yn darparu diffiniadau llawn.</t>
    </r>
  </si>
  <si>
    <r>
      <t xml:space="preserve">Mae angen y newidynnau ychwanegol hyn i gynhyrchu amcangyfrifon wedi'u rhannu yn </t>
    </r>
    <r>
      <rPr>
        <b/>
        <sz val="10"/>
        <color theme="1"/>
        <rFont val="Arial"/>
        <family val="2"/>
      </rPr>
      <t>bedair deiliadaeth</t>
    </r>
    <r>
      <rPr>
        <sz val="10"/>
        <color theme="1"/>
        <rFont val="Arial"/>
        <family val="2"/>
      </rPr>
      <t xml:space="preserve"> (perchen-feddiannydd, rhent preifat, rhent canolradd a chymdeithasol).
Mae'r daenlen "Canllawiau ar Newidynnau" yn darparu diffiniadau llawn.</t>
    </r>
  </si>
  <si>
    <t>Gwerth defnyddiwr (nid oes gwerth wedi'i ragosod)</t>
  </si>
  <si>
    <t>Amrywiolyn dim ymfudo</t>
  </si>
  <si>
    <t>Amrywiolyn ymfudo cymedrig deng mlynedd</t>
  </si>
  <si>
    <t>Amrywiolyn Uwch</t>
  </si>
  <si>
    <t>Amrywiolyn Is</t>
  </si>
  <si>
    <t>Defnydd cyffredinol o'r adnodd</t>
  </si>
  <si>
    <t>Mae'r daflen hon yn anelu i roi cyngor defnyddiol ar gyfer defnyddio a llywio'r adnodd. Os ydych yn meddwl y byddai cyngor ychwanegol yn ddefnyddiol, cysylltwch â ni os gwelwch yn dda (manylion cyswllt ar y dudalen flaen).</t>
  </si>
  <si>
    <t>Mewngofnodi eich data chi</t>
  </si>
  <si>
    <t>• Nid oes rhaid i chi fewngofnodi gwerthoedd ym mhob rhanbarth er mwyn i'r adnodd weithio. Cyhyd â'ch bod wedi mewngofnodi data ar lefel Cymru, mi fyddwch yn gweld amcangyfrifon ar lefel Cymru. Bydd y taflenni rhanbarthol yn dangos statws anorffenedig a pharhau yn wag.</t>
  </si>
  <si>
    <t xml:space="preserve">• Ar gyfer amcangyfrifon ar lefel Cymru a'r tair rhanbarth, mae yna daflen 'Cyfrifiadau'. Mae hwn yn torri'r fethodoleg i lawr gam wrth gam. Mae yna enghraifft weithredol yn Atodiad 4 o'r erthygl ystadegol (linc ar y dudalen flaen). </t>
  </si>
  <si>
    <t>• Os nad oes amcangyfrifon yn ymddangos, gwiriwch nad oes celloedd coch yn dangos "N" yng ngholofn gyflawn pob taflen rhaniad y ddeiliadaeth. Os oes, dilynwch y testun coch i fewnbynnu data neu ddewis yr opsiwn wedi'i ragosod (lle'n bosib).</t>
  </si>
  <si>
    <t>• Er mwyn gweld amcangyfrifon wedi'u rhannu yn ddwy ddeiliadaeth, nid oes angen i chi mewngofnodi eich data chi o gwbl.</t>
  </si>
  <si>
    <t xml:space="preserve">• Er mwyn gweld amcangyfrifon wedi'u rhannu yn bedair deiliadaeth, mae'n rhaid i chi fewngofnodi eich data ar gyfer y gyfran o brynwyr am y tro cyntaf sy'n mynd ymlaen i brynu eiddo. </t>
  </si>
  <si>
    <t xml:space="preserve">• Bydd y dewisiadau a wnewch ar daflen Rhaniad y Ddeiliadaeth (Cymru) i ddefnyddio data wedi'i ragosod neu eich data chi, yn dilyn drwodd i'r taflenni rhanbarthol. Ni fedrwch ddefnyddio'r rhagosodon mewn un ardal ddaearyddol a defnyddio'ch data eich hun mewn un arall. </t>
  </si>
  <si>
    <t>Deall y fethodoleg</t>
  </si>
  <si>
    <t xml:space="preserve">Mae'n ofynnol i brisiau tai sy'n addas ar gyfer tai'r farchnad agored gael eu dyrannu i berchen-feddianwyr a rhenti preifat. </t>
  </si>
  <si>
    <t xml:space="preserve">Er mwyn dyrannu'r rheini a ystyrir yn addas ar gyfer rhent fforddiadwy i rhent cymdeithasol a chanolradd, mae gofyn am ragdybiaeth o ba aelwydydd sy'n addas ar gyfer rhent cymdeithasol. </t>
  </si>
  <si>
    <t>Holl Amrywiolion Amcanestyniadau o Aelwydydd</t>
  </si>
  <si>
    <t>Newidynnau sydd angen eu rhagamcanu'n flynyddol</t>
  </si>
  <si>
    <t xml:space="preserve">• Mae'r opsiwn gennych i ddefnyddio'ch data a'ch rhagdybiaethau eich hun. Gallwch roi eich data chi yn lle'r rhagdybiaethau a ffynonellau data wedi'u rhagosod, defnyddio cymysgedd o'ch data chi a data wedi'i ragosod, neu ddefnyddio'r holl ragdybiaethau a ffynonellau data wedi'u rhagosod. </t>
  </si>
  <si>
    <t xml:space="preserve">• Yn yr un modd, nid oes angen i chi fewngofnodi data ar lefel Cymru er mwyn i'r adnodd weithio. Os oes gennych ddiddordeb penodol mewn un rhanbarth, ac eisiau defnyddio eich data eich hun, gallwch wneud hynny drwy ddewis ar y daflen Cymru. Bydd mewngofnodi data ar lefel rhanbarthol yn unig yn darparu amcangyfrifon ar gyfer y rhanbarth hwnnw (bydd y taflenni eraill yn parhau yn anorffenedig ac ni fyddant yn arddangos canlyniadau). </t>
  </si>
  <si>
    <t xml:space="preserve">• Mae celloedd sydd wedi'u lliwio'n las yn nodi y gallwch ddewis o ddewislen, ychwanegu data, neu glicio ar fotwm. </t>
  </si>
  <si>
    <r>
      <t xml:space="preserve">Noder: </t>
    </r>
    <r>
      <rPr>
        <sz val="11"/>
        <color theme="1"/>
        <rFont val="Arial"/>
        <family val="2"/>
      </rPr>
      <t>Gall fod gwahaniaethau bach rhwng swm y canlyniadau rhanbarthol a'r canlyniadau cenedlaethol o dan unrhyw amcangyfrifon a rhannwyd yn ôl daliadaeth. Mae hyn oherwydd y cyfrifir amcangyfrifon rhanbarthol gan ddefnyddio data rhanbarthol (incwm aelwyd, prisiau rhentu) ac felly bydd yn wahanol i lefel Cymru gyfan.</t>
    </r>
  </si>
  <si>
    <t xml:space="preserve">Aelwydydd nad ydynt wedi'u neilltuo </t>
  </si>
  <si>
    <t>Aelwydydd nad ydynt wedi'u neilltuo</t>
  </si>
  <si>
    <t>Ffigwr i'w ddefnyddio:</t>
  </si>
  <si>
    <t>Canolrifol</t>
  </si>
  <si>
    <t>30 Canradd</t>
  </si>
  <si>
    <t>Dosbarthiad Incwm Defnyddwyr</t>
  </si>
  <si>
    <t>Dosbarthiad Incwm a Ddewiswyd (unai LlC neu defnyddwyr)</t>
  </si>
  <si>
    <t>Dosbarthiad Prisiau Tai Defnyddwyr</t>
  </si>
  <si>
    <t>Dosbarthiad Prisiau Tai a Ddefnyddiwyd (unai LlC neu Defnyddwyr)</t>
  </si>
  <si>
    <t xml:space="preserve">Mae'r ffigurau isod yn rhannu'r amcangyfrifon o'r angen o ran tai yn ddwy ddeiliadaeth, ac maent wedi'i seilio ar y rhagdybiaethau canlynol. </t>
  </si>
  <si>
    <t>Gwag?</t>
  </si>
  <si>
    <t>Data LlC ar Renti</t>
  </si>
  <si>
    <t>Mwy o Anghydraddoldeb</t>
  </si>
  <si>
    <t>Data Cofrestrfa Tir</t>
  </si>
  <si>
    <t xml:space="preserve">Fersiwn: </t>
  </si>
  <si>
    <r>
      <t xml:space="preserve">Llenwch y blychau </t>
    </r>
    <r>
      <rPr>
        <sz val="10"/>
        <color theme="8" tint="-0.249977111117893"/>
        <rFont val="Arial"/>
        <family val="2"/>
      </rPr>
      <t>GLAS</t>
    </r>
    <r>
      <rPr>
        <sz val="10"/>
        <color theme="1"/>
        <rFont val="Arial"/>
        <family val="2"/>
      </rPr>
      <t xml:space="preserve"> a dilynwch unrhyw gyfarwyddiadau yn y golofn Cyfarwyddiadau/Gwirio</t>
    </r>
  </si>
  <si>
    <r>
      <t xml:space="preserve">Mae'r daflen hon yn cynnwys y rhagdybiaethau wedi'u rhagosod (fel sy'n cael ei egluro yn y daflen canllawiau ar newidynnau) ar gyfer gwerthoedd rhenti 30 canradd a chanolrifol. Os byddwch wedi dewis mewngofnodi eich data eich hunain, cewch eich atgoffa o dan y newidynnau perthnasol i roi eich data. Cyfeiriwch at y Canllawiau ar Newidynnau i gael rhagor o wybodaeth. </t>
    </r>
    <r>
      <rPr>
        <b/>
        <sz val="11"/>
        <color theme="1"/>
        <rFont val="Calibri"/>
        <family val="2"/>
        <scheme val="minor"/>
      </rPr>
      <t>Mae'r ffigyrau yn cyfeirio at 17/18.</t>
    </r>
  </si>
  <si>
    <r>
      <t xml:space="preserve">Mae'r offeryn hwn yn caniatáu i ddefnyddwyr archwilio amcangyfrifon o'r angen am dai yng Nghymru yn ôl Deiliadaeth, ac mae'n cynnwys yr opsiwn i newid y rhagdybiaethau sylfaenol a ffynonellau'r data. 
Ym mis Ionawr 2019, cyhoeddodd Llywodraeth Cymru amcangyfrifon cyffredinol o'r angen am dai ychwanegol ar lefel cenedlaethol a rhanbarthol dros gyfnod o 20 mlynedd (2018/19 i 2037/38). Yn dilyn hyn, cafwyd ail gyhoeddiad sy'n rhannu'r acmangyfrifon cyffredinol ar gyfer y pum mlynedd cyntaf i ddeiliadaeth tai (naill ai marchnad neu fforddiadwy). Ceir dolen at yr erthyglau yma isod ac maent yn rhoi'r gwybodaeth gefndirol berthnasol i'r adnodd hwn. 
At ddiben yr adroddiad hwn, diffinnir tai'r farchnad a thai fforddiadwy fel a ganlyn:
</t>
    </r>
    <r>
      <rPr>
        <b/>
        <sz val="12"/>
        <color theme="1"/>
        <rFont val="Calibri"/>
        <family val="2"/>
        <scheme val="minor"/>
      </rPr>
      <t>Tai'r Farchnad:</t>
    </r>
    <r>
      <rPr>
        <sz val="12"/>
        <color theme="1"/>
        <rFont val="Calibri"/>
        <family val="2"/>
        <scheme val="minor"/>
      </rPr>
      <t xml:space="preserve"> Unedau tai sydd â pherchennog-ddeiliad neu a rentir yn breifat. Mae'n cynnwys unedau tai Cymorth i Brynu a Pherchentyaeth Cost Isel Canolradd (ee Cymorth Prynu a Rhanberchnogaeth). 
</t>
    </r>
    <r>
      <rPr>
        <b/>
        <sz val="12"/>
        <color theme="1"/>
        <rFont val="Calibri"/>
        <family val="2"/>
        <scheme val="minor"/>
      </rPr>
      <t xml:space="preserve">Tai Fforddiadwy : </t>
    </r>
    <r>
      <rPr>
        <sz val="12"/>
        <color theme="1"/>
        <rFont val="Calibri"/>
        <family val="2"/>
        <scheme val="minor"/>
      </rPr>
      <t xml:space="preserve">Tai cymdeithasol a thai rhent canolradd. Nid yw'n cynnwys unedau tai Perchentyaeth Cost Isel Canolradd. 
Fel y trafodwyd yn yr erthygl ystadegol (dolen isod), mae'r offeryn hwn hefyd yn caniatáu i ddefnyddwyr archwilio amcangyfrifon sydd wedi'u rhannu yn bedair deiliadaeth. 
Ceir taflenni gwahanol ar gyfer pob un o'r ardaloedd daearyddol (Cymru, Gogledd Cymru, Canolbarth a De-orllewin Cymru, De-ddwyrain Cymru). Yn y daflen sy'n dangos Rhaniad y Ddeiliadaeth (CYMRU), mae gan ddefnyddwyr yr opsiwn i newid ffynonellau'r data a'r rhagdybiaethau sylfaenol. 
</t>
    </r>
    <r>
      <rPr>
        <b/>
        <sz val="12"/>
        <color theme="1"/>
        <rFont val="Calibri"/>
        <family val="2"/>
        <scheme val="minor"/>
      </rPr>
      <t xml:space="preserve">
Darllenwch drwy'r CANLLAWIAU AR NEWIDYNNAU</t>
    </r>
    <r>
      <rPr>
        <sz val="12"/>
        <color theme="1"/>
        <rFont val="Calibri"/>
        <family val="2"/>
        <scheme val="minor"/>
      </rPr>
      <t xml:space="preserve"> a fydd yn egluro sut y mae pob newidyn yn cael ei ddefnyddio a ffynhonnell y newidyn sydd wedi'i ragosod. Ar ôl dewis o'r blychau glas, bydd cyfarwyddiadau'n ymddangos er mwyn gallu cyflwyno data. Ar ôl cwblhau mewnbynnu'r data, bydd amcangyfrifon yn ymddangos ar ffurf siartiau a thablau a rhywfaint o sylwadau am y rhagdybiaethau a ddewiswyd.
</t>
    </r>
  </si>
  <si>
    <t xml:space="preserve">Byddai aelwydydd a fyddai'n gwario llai na 30% o incwm yr aelwyd ar rent preifat canolrifol yn addas ar gyfer rhentu'n breifat.
Wrth i'r trothwy incwm aelwyd gynyddu (ee aelwydydd sy'n gwario llai na 35% o incwm aelwyd ar rhent canolrifol yn addas ar gyfer rhent preifat) felly hefyd fydd nifer yr aelwydydd a fyddai'n addas i rentu'n breifat.
</t>
  </si>
  <si>
    <t>Byddai aelwydydd fyddai’n gwario mwy na 35% o incwm yr aelwyd ar renti 30 canradd yn addas ar gyfer tai cymdeithasol.    
Wrth i'r trothwy incwm aelwyd ostwng (ee aelwydydd sy'n mwy llai na 30% o incwm aelwyd ar rhent canolrifol yn addas ar gyfer tai cymdeithasol) bydd mwy o aelwydydd yn addas ar gyfer tai cymdeithasol</t>
  </si>
  <si>
    <t>Nodiadau</t>
  </si>
  <si>
    <t>Mae amcanestyniadau aelwydydd Awdurdodau lleol wedi'u cyfansymu i gyfrifo amcanestyniadau cenedlaethol a rhanbarthol.</t>
  </si>
  <si>
    <t xml:space="preserve">Daw'r data am aelwydydd sy'n orlawn ac yn gudd o Gyfrifiad 2011. </t>
  </si>
  <si>
    <t xml:space="preserve">Mae'r data a ddefnyddiwyd at bwrpas y gwaith hwn yn cynnwys aelwydydd sydd yn derbyn cymhorthdal tai yn ogystal a aelwydydd myfyrwyr. Caiff y rhain eu heithrio o'r data a gyhoeddir ar StatsCymru ac felly nid oes modd cymharu'r data. </t>
  </si>
  <si>
    <t>Defnyddiwyd rhagolygon ar gyfer blynyddoedd ariannol sydd ychydig yn wahanol i'r cyfnodau canol blwyddyn a ddefnyddir yn yr amcangyfrifon o dai ychwanegol.</t>
  </si>
  <si>
    <t xml:space="preserve">Data yn gywir ar 6 Rhagfyr 2018. </t>
  </si>
  <si>
    <t xml:space="preserve">Heb ei ragosod. </t>
  </si>
  <si>
    <t>Noder: Mae'r amcanestyniadau aelwydydd ar gyfer y tri rhanbarth yng Nghymru wedi'u cyfansymu i gyfrifo amcanestyniadau aelwydydd ar gyfer Cymru. Gall fod gwahaniaethau bach (o ganlyniad i dalgrynnu) rhwng y ffigurau hyn a'r rhai a gyhoeddwyd ar StatsCymru.</t>
  </si>
  <si>
    <t>Dosbarthiad Incwm Wedi'i Ragosod - Cymru</t>
  </si>
  <si>
    <t>Dosbarthiad Incwm Wedi'i Ragosod (Gogledd Cymru)</t>
  </si>
  <si>
    <t>Dosbarthiad Prisiau Tai Wedi'i Ragosod - Cymru</t>
  </si>
  <si>
    <t>Dosbarthiad Prisiau Tai Wedi'i Ragosod (Gogledd Cymru)</t>
  </si>
  <si>
    <t>Newidynnau sydd eu hangen i gynhyrchu amcangyfrifon wedi eu rhannu i ddwy ddeiliadaeth</t>
  </si>
  <si>
    <t>Newidynnau sydd eu hangen i gynhyrchu amcangyfrifon wedi eu rhannu i bedair deiliadaeth</t>
  </si>
  <si>
    <t>Blynyddoedd i gael gwared ar yr angen presennol:</t>
  </si>
  <si>
    <t>Ffynonellau Data (rhaniad 4 deiliadaeth)</t>
  </si>
  <si>
    <t>Rhagdybiaethau Blynyddol Penodol (rhaniad 4 deiliadaeth)</t>
  </si>
  <si>
    <t xml:space="preserve">Rhagdybiaethau 5 mlynedd (rhaniad 4 deiliadaeth) </t>
  </si>
  <si>
    <t xml:space="preserve">Defnyddir amcanestyniadau aelwydydd i gyfrifo'r angen newydd sy’n codi’n flynyddol. Diffinnir angen newydd sy’n codi  fel nifer amcanestynedig o aelwydydd newydd bydd angen tai ychwanegol arnynt am gyfnod yn y dyfodol. 
Mae nifer o newidynnau o amcanestyniadau aelwydydd:
- Prif Amcanestyniadau (y sail ar gyfer amcanion canolog angen tai)  
 - Amrywiolyn uwch
- Amrywiolyn is
- Amrywiolyn Ymfudo Cymedrig Deng Mlynedd
- Amrywiolyn Dim Ymfudo
</t>
  </si>
  <si>
    <t>Defnyddir amcangyfrifon o'r angen presennol nas diwallwyd ynghyd ag amcanestyniadau aelwydydd i amcangyfrif yr angen cyffredinol am unedau tai ychwanegol. Diffinnir yr angen presennol nas diwallwyd fel nifer yr aelwydydd sydd heb fynediad i dai digonol ac y byddai angen uned tai ychwanegol. Ni chaiff y rheini a all fod angen tai mwy priodol na fyddai angen tai ychwanegol arnynt eu cynnwys yn y dadansoddiad hwn.</t>
  </si>
  <si>
    <t xml:space="preserve">Mae dosbarthiad incwm yr aelwyd yn ofynnol (ynghyd â meini prawf fforddiadwyedd pob deiliadaeth) ar lefel genedlaethol a rhanbarthol i gyfrifo pa gyfran o'r angen newydd sy’n codi  fyddai'n addas ar gyfer pob deiliadaeth tai. </t>
  </si>
  <si>
    <t xml:space="preserve">Defnyddir data canolrif a 30 canradd rhent preifatar lefel genedlaethol a rhanbarthol ynghyd â dosbarthiad incwm aelwydydd er mwyn sefydlu faint o aelwydydd sydd yn addas ar gyfer tai’r farchnad.
</t>
  </si>
  <si>
    <t xml:space="preserve">Mae'r dybiaeth yn ofynnol er mwyn cyfrifo (ynghyd â phris canolrif rhent preifat) yr incwm gofynnol sydd ei angen i fforddio tai ar y farchnad (rhent preifat neu berchen-feddiannydd). </t>
  </si>
  <si>
    <t>Mae’r Swyddfa Cyfrifoldeb Cyllidebol (OBR) yn cyhoeddi rhagolygon o incwm aelwydydd. Tra bo’r rhagolygon ar lefel DU mae wedi’i ddefnyddio ar lefel cenedlaethol a rhanbarthol yng Nghymru. Mae’r rhagolwg yn nodi twf o oddeutu 3% bob blwyddyn ar gyfer y cyfnod o bum mlynedd.</t>
  </si>
  <si>
    <t>Yn seiliedig ar y llenyddiaeth sydd ar gael, y dybiaeth ragosod yw y bydd, dros amser, mwy o anghydraddoldeb yn nosbarthiad incwm aelwydydd. Mae hyn yn golygu y bydd aelwydydd incwm uchel yn cynyddu yn gynt na'r rhai o gartrefi incwm isel.</t>
  </si>
  <si>
    <t>Cyhoeddodd y Swyddfa Cyfrifoldeb Cyllidebol (OBR) ei Rhagolygon Economaidd a Chyllidol diweddaraf ym mis Mawrth 2019. Maent yn datgan y tybir bod rhenti preifat yn cynyddu yn unol â'u rhagolygon o enillion cyfartalog. Tra bo’r rhagolygon ar lefel DU mae wedi’i ddefnyddio ar lefel cenedlaethol a rhanbarthol yng Nghymru. Mae’r rhagolwg yn nodi twf o oddeutu 3% bob blwyddyn ar gyfer y cyfnod o bum mlynedd.</t>
  </si>
  <si>
    <t>Rhaniad o 4 deiliadaeth a amcangyfrifir - Gogledd Cymru (yn seiliedig ar ragdybiaethau defnyddwyr)</t>
  </si>
  <si>
    <t xml:space="preserve"> Rhaniad Cymesur o 4 deiliadaeth - Gogledd Cymru (yn seiliedig ar ragdybiaethau defnyddwyr)</t>
  </si>
  <si>
    <t>Gwiriad Camgymeriadau - Newidynnau 4 deiliadaeth</t>
  </si>
  <si>
    <t>Problemau Cyffredinol - 4 deiliadaeth</t>
  </si>
  <si>
    <t>Amcangyfrifon - Rhaniad 4 deiliadaeth</t>
  </si>
  <si>
    <t>Paragraff Terfynol - 4 deiliadaeth</t>
  </si>
  <si>
    <t>Amcangyfrif Rhaniad 4 deiliadaeth  - Cymru (wedi'i seilio ar ragdybiaethau'r defnyddwyr)</t>
  </si>
  <si>
    <t xml:space="preserve"> Rhaniad 4 deiliadaeth Cyfraneddol - Cymru (wedi'i seilio ar ragdybiaethau'r defnyddwyr)</t>
  </si>
  <si>
    <t>Rhaniad o 4 deiliadaeth a amcangyfrifir - Canolbarth a De-orllewin Cymru (yn seiliedig ar ragdybiaethau defnyddwyr)</t>
  </si>
  <si>
    <t xml:space="preserve"> Rhaniad Cymesur o 4 deiliadaeth - Canolbarth a De-orllewin Cymru (yn seiliedig ar ragdybiaethau defnyddwyr)</t>
  </si>
  <si>
    <t>Rhaniad o 4 deiliadaeth a amcangyfrifir - De-ddwyrain Cymru (yn seiliedig ar ragdybiaethau defnyddwyr)</t>
  </si>
  <si>
    <t xml:space="preserve"> Rhaniad Cymesur o 4 deiliadaeth - De-ddwyrain Cymru (yn seiliedig ar ragdybiaethau defnyddwyr)</t>
  </si>
  <si>
    <t>Mae'r holl gynnwys ar gael o dan Drwydded Llywodraeth Agored f3.0, oni nodir fel arall.</t>
  </si>
  <si>
    <t>5 Mehefin 2019</t>
  </si>
  <si>
    <t>ystadegau.tai@llyw.cymru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</si>
</sst>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5">
    <numFmt numFmtId="6" formatCode="&quot;£&quot;#,##0;[Red]\-&quot;£&quot;#,##0"/>
    <numFmt numFmtId="44" formatCode="_-&quot;£&quot;* #,##0.00_-;\-&quot;£&quot;* #,##0.00_-;_-&quot;£&quot;* &quot;-&quot;??_-;_-@_-"/>
    <numFmt numFmtId="43" formatCode="_-* #,##0.00_-;\-* #,##0.00_-;_-* &quot;-&quot;??_-;_-@_-"/>
    <numFmt numFmtId="164" formatCode="0.0"/>
    <numFmt numFmtId="165" formatCode="_-* #,##0_-;\-* #,##0_-;_-* &quot;-&quot;??_-;_-@_-"/>
    <numFmt numFmtId="166" formatCode="&quot;£&quot;#,##0"/>
    <numFmt numFmtId="167" formatCode="0.000"/>
    <numFmt numFmtId="168" formatCode="0.0000"/>
    <numFmt numFmtId="169" formatCode="#,##0.0_-;\(#,##0.0\);_-* &quot;-&quot;??_-"/>
    <numFmt numFmtId="170" formatCode="0000"/>
    <numFmt numFmtId="171" formatCode="#,##0,"/>
    <numFmt numFmtId="172" formatCode="&quot;to &quot;0.0000;&quot;to &quot;\-0.0000;&quot;to 0&quot;"/>
    <numFmt numFmtId="173" formatCode="_-[$€-2]* #,##0.00_-;\-[$€-2]* #,##0.00_-;_-[$€-2]* &quot;-&quot;??_-"/>
    <numFmt numFmtId="174" formatCode="#,##0;\-#,##0;\-"/>
    <numFmt numFmtId="175" formatCode="&quot; &quot;General"/>
    <numFmt numFmtId="176" formatCode="[&lt;0.0001]&quot;&lt;0.0001&quot;;0.0000"/>
    <numFmt numFmtId="177" formatCode="#,##0_);;&quot;- &quot;_);@_)\ "/>
    <numFmt numFmtId="178" formatCode="#,##0.0,,;\-#,##0.0,,;\-"/>
    <numFmt numFmtId="179" formatCode="_(General"/>
    <numFmt numFmtId="180" formatCode="#,##0,;\-#,##0,;\-"/>
    <numFmt numFmtId="181" formatCode="0.0%;\-0.0%;\-"/>
    <numFmt numFmtId="182" formatCode="#,##0.0,,;\-#,##0.0,,"/>
    <numFmt numFmtId="183" formatCode="#,##0,;\-#,##0,"/>
    <numFmt numFmtId="184" formatCode="0.0%;\-0.0%"/>
    <numFmt numFmtId="185" formatCode="&quot;£&quot;#,##0.00"/>
  </numFmts>
  <fonts count="137"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sz val="10"/>
      <name val="Arial"/>
      <family val="2"/>
    </font>
    <font>
      <sz val="8"/>
      <name val="Arial"/>
      <family val="2"/>
    </font>
    <font>
      <b/>
      <sz val="10"/>
      <name val="Arial"/>
      <family val="2"/>
    </font>
    <font>
      <b/>
      <sz val="8"/>
      <name val="Arial"/>
      <family val="2"/>
    </font>
    <font>
      <sz val="10"/>
      <color indexed="8"/>
      <name val="Arial"/>
      <family val="2"/>
    </font>
    <font>
      <b/>
      <sz val="10"/>
      <color indexed="8"/>
      <name val="Arial"/>
      <family val="2"/>
    </font>
    <font>
      <sz val="7"/>
      <name val="Arial"/>
      <family val="2"/>
    </font>
    <font>
      <sz val="10"/>
      <color indexed="10"/>
      <name val="Arial"/>
      <family val="2"/>
    </font>
    <font>
      <sz val="10"/>
      <color rgb="FF000000"/>
      <name val="Arial"/>
      <family val="2"/>
    </font>
    <font>
      <sz val="10"/>
      <color rgb="FFFF0000"/>
      <name val="Arial"/>
      <family val="2"/>
    </font>
    <font>
      <sz val="10"/>
      <name val="MS Sans Serif"/>
      <family val="2"/>
    </font>
    <font>
      <b/>
      <sz val="10"/>
      <color theme="1"/>
      <name val="Arial"/>
      <family val="2"/>
    </font>
    <font>
      <i/>
      <sz val="10"/>
      <name val="Arial"/>
      <family val="2"/>
    </font>
    <font>
      <b/>
      <i/>
      <sz val="10"/>
      <name val="Arial"/>
      <family val="2"/>
    </font>
    <font>
      <b/>
      <sz val="15"/>
      <color theme="3"/>
      <name val="Arial"/>
      <family val="2"/>
    </font>
    <font>
      <b/>
      <sz val="13"/>
      <color theme="3"/>
      <name val="Arial"/>
      <family val="2"/>
    </font>
    <font>
      <b/>
      <sz val="11"/>
      <color theme="3"/>
      <name val="Arial"/>
      <family val="2"/>
    </font>
    <font>
      <sz val="10"/>
      <color rgb="FF006100"/>
      <name val="Arial"/>
      <family val="2"/>
    </font>
    <font>
      <sz val="10"/>
      <color rgb="FF9C0006"/>
      <name val="Arial"/>
      <family val="2"/>
    </font>
    <font>
      <sz val="10"/>
      <color rgb="FF9C6500"/>
      <name val="Arial"/>
      <family val="2"/>
    </font>
    <font>
      <sz val="10"/>
      <color rgb="FF3F3F76"/>
      <name val="Arial"/>
      <family val="2"/>
    </font>
    <font>
      <b/>
      <sz val="10"/>
      <color rgb="FF3F3F3F"/>
      <name val="Arial"/>
      <family val="2"/>
    </font>
    <font>
      <b/>
      <sz val="10"/>
      <color rgb="FFFA7D00"/>
      <name val="Arial"/>
      <family val="2"/>
    </font>
    <font>
      <sz val="10"/>
      <color rgb="FFFA7D00"/>
      <name val="Arial"/>
      <family val="2"/>
    </font>
    <font>
      <b/>
      <sz val="10"/>
      <color theme="0"/>
      <name val="Arial"/>
      <family val="2"/>
    </font>
    <font>
      <i/>
      <sz val="10"/>
      <color rgb="FF7F7F7F"/>
      <name val="Arial"/>
      <family val="2"/>
    </font>
    <font>
      <sz val="10"/>
      <color theme="0"/>
      <name val="Arial"/>
      <family val="2"/>
    </font>
    <font>
      <sz val="12"/>
      <color theme="1"/>
      <name val="Arial"/>
      <family val="2"/>
    </font>
    <font>
      <u/>
      <sz val="10"/>
      <color rgb="FF0000FF"/>
      <name val="Arial"/>
      <family val="2"/>
    </font>
    <font>
      <b/>
      <sz val="10"/>
      <color indexed="18"/>
      <name val="Arial"/>
      <family val="2"/>
    </font>
    <font>
      <sz val="11"/>
      <color indexed="8"/>
      <name val="Calibri"/>
      <family val="2"/>
    </font>
    <font>
      <sz val="11"/>
      <color indexed="9"/>
      <name val="Calibri"/>
      <family val="2"/>
    </font>
    <font>
      <b/>
      <sz val="18"/>
      <name val="Arial"/>
      <family val="2"/>
    </font>
    <font>
      <sz val="11"/>
      <color indexed="20"/>
      <name val="Calibri"/>
      <family val="2"/>
    </font>
    <font>
      <b/>
      <sz val="11"/>
      <color indexed="10"/>
      <name val="Calibri"/>
      <family val="2"/>
    </font>
    <font>
      <b/>
      <sz val="11"/>
      <color indexed="9"/>
      <name val="Calibri"/>
      <family val="2"/>
    </font>
    <font>
      <sz val="9"/>
      <name val="Arial"/>
      <family val="2"/>
    </font>
    <font>
      <b/>
      <sz val="11"/>
      <color indexed="55"/>
      <name val="Arial"/>
      <family val="2"/>
    </font>
    <font>
      <i/>
      <sz val="11"/>
      <color indexed="23"/>
      <name val="Calibri"/>
      <family val="2"/>
    </font>
    <font>
      <sz val="11"/>
      <color indexed="10"/>
      <name val="Arial"/>
      <family val="2"/>
    </font>
    <font>
      <sz val="8"/>
      <name val="Times New Roman"/>
      <family val="1"/>
    </font>
    <font>
      <i/>
      <sz val="8"/>
      <name val="Times New Roman"/>
      <family val="1"/>
    </font>
    <font>
      <sz val="11"/>
      <color indexed="17"/>
      <name val="Calibri"/>
      <family val="2"/>
    </font>
    <font>
      <b/>
      <sz val="9"/>
      <color indexed="18"/>
      <name val="Arial"/>
      <family val="2"/>
    </font>
    <font>
      <b/>
      <sz val="14"/>
      <color theme="0"/>
      <name val="Calibri"/>
      <family val="2"/>
      <scheme val="minor"/>
    </font>
    <font>
      <b/>
      <sz val="9"/>
      <color indexed="8"/>
      <name val="Arial"/>
      <family val="2"/>
    </font>
    <font>
      <b/>
      <sz val="12"/>
      <color indexed="12"/>
      <name val="Arial"/>
      <family val="2"/>
    </font>
    <font>
      <b/>
      <sz val="15"/>
      <color indexed="62"/>
      <name val="Calibri"/>
      <family val="2"/>
    </font>
    <font>
      <b/>
      <sz val="13"/>
      <color indexed="62"/>
      <name val="Calibri"/>
      <family val="2"/>
    </font>
    <font>
      <b/>
      <sz val="11"/>
      <color indexed="62"/>
      <name val="Calibri"/>
      <family val="2"/>
    </font>
    <font>
      <u/>
      <sz val="10"/>
      <color theme="10"/>
      <name val="Arial"/>
      <family val="2"/>
    </font>
    <font>
      <u/>
      <sz val="10"/>
      <color indexed="12"/>
      <name val="Arial"/>
      <family val="2"/>
    </font>
    <font>
      <u/>
      <sz val="12"/>
      <color theme="10"/>
      <name val="Arial"/>
      <family val="2"/>
    </font>
    <font>
      <u/>
      <sz val="12"/>
      <color indexed="12"/>
      <name val="Arial"/>
      <family val="2"/>
    </font>
    <font>
      <u/>
      <sz val="7.5"/>
      <color indexed="12"/>
      <name val="Arial"/>
      <family val="2"/>
    </font>
    <font>
      <sz val="10"/>
      <color indexed="12"/>
      <name val="Arial"/>
      <family val="2"/>
    </font>
    <font>
      <u/>
      <sz val="10"/>
      <color indexed="12"/>
      <name val="MS Sans Serif"/>
      <family val="2"/>
    </font>
    <font>
      <sz val="11"/>
      <color indexed="62"/>
      <name val="Calibri"/>
      <family val="2"/>
    </font>
    <font>
      <sz val="11"/>
      <color indexed="10"/>
      <name val="Calibri"/>
      <family val="2"/>
    </font>
    <font>
      <sz val="11"/>
      <color indexed="19"/>
      <name val="Calibri"/>
      <family val="2"/>
    </font>
    <font>
      <sz val="12"/>
      <name val="Helv"/>
    </font>
    <font>
      <sz val="12"/>
      <color rgb="FF000000"/>
      <name val="Arial"/>
      <family val="2"/>
    </font>
    <font>
      <sz val="11"/>
      <color indexed="8"/>
      <name val="Calibri"/>
      <family val="2"/>
      <scheme val="minor"/>
    </font>
    <font>
      <sz val="10"/>
      <color rgb="FF000000"/>
      <name val="Courier"/>
      <family val="3"/>
    </font>
    <font>
      <b/>
      <sz val="11"/>
      <color indexed="63"/>
      <name val="Calibri"/>
      <family val="2"/>
    </font>
    <font>
      <sz val="11"/>
      <color indexed="8"/>
      <name val="Times New Roman"/>
      <family val="1"/>
    </font>
    <font>
      <b/>
      <i/>
      <sz val="11"/>
      <color indexed="8"/>
      <name val="Times New Roman"/>
      <family val="1"/>
    </font>
    <font>
      <b/>
      <sz val="11"/>
      <color indexed="16"/>
      <name val="Times New Roman"/>
      <family val="1"/>
    </font>
    <font>
      <b/>
      <sz val="22"/>
      <color indexed="8"/>
      <name val="Times New Roman"/>
      <family val="1"/>
    </font>
    <font>
      <sz val="8"/>
      <color indexed="52"/>
      <name val="Arial"/>
      <family val="2"/>
    </font>
    <font>
      <sz val="8"/>
      <color indexed="51"/>
      <name val="Arial"/>
      <family val="2"/>
    </font>
    <font>
      <b/>
      <sz val="10"/>
      <color indexed="58"/>
      <name val="Arial"/>
      <family val="2"/>
    </font>
    <font>
      <sz val="10"/>
      <color indexed="39"/>
      <name val="Arial"/>
      <family val="2"/>
    </font>
    <font>
      <b/>
      <sz val="12"/>
      <color indexed="8"/>
      <name val="Arial"/>
      <family val="2"/>
    </font>
    <font>
      <b/>
      <sz val="16"/>
      <color indexed="23"/>
      <name val="Arial"/>
      <family val="2"/>
    </font>
    <font>
      <b/>
      <sz val="8"/>
      <color rgb="FF000000"/>
      <name val="Arial"/>
      <family val="2"/>
    </font>
    <font>
      <sz val="10"/>
      <name val="Tahoma"/>
      <family val="2"/>
    </font>
    <font>
      <sz val="8"/>
      <color rgb="FF000000"/>
      <name val="Arial"/>
      <family val="2"/>
    </font>
    <font>
      <b/>
      <sz val="10"/>
      <name val="Tahoma"/>
      <family val="2"/>
    </font>
    <font>
      <b/>
      <sz val="12"/>
      <color theme="1"/>
      <name val="Calibri"/>
      <family val="2"/>
      <scheme val="minor"/>
    </font>
    <font>
      <sz val="11"/>
      <name val="Times New Roman"/>
      <family val="1"/>
    </font>
    <font>
      <b/>
      <sz val="11"/>
      <name val="Times New Roman"/>
      <family val="1"/>
    </font>
    <font>
      <i/>
      <sz val="7"/>
      <name val="Arial"/>
      <family val="2"/>
    </font>
    <font>
      <b/>
      <sz val="8"/>
      <color indexed="12"/>
      <name val="Arial"/>
      <family val="2"/>
    </font>
    <font>
      <i/>
      <sz val="8"/>
      <color indexed="12"/>
      <name val="Arial"/>
      <family val="2"/>
    </font>
    <font>
      <b/>
      <sz val="12"/>
      <name val="Times New Roman"/>
      <family val="1"/>
    </font>
    <font>
      <i/>
      <sz val="8"/>
      <name val="Arial"/>
      <family val="2"/>
    </font>
    <font>
      <b/>
      <sz val="18"/>
      <color indexed="56"/>
      <name val="Cambria"/>
      <family val="2"/>
    </font>
    <font>
      <b/>
      <sz val="18"/>
      <color indexed="62"/>
      <name val="Cambria"/>
      <family val="2"/>
    </font>
    <font>
      <b/>
      <sz val="11"/>
      <color indexed="8"/>
      <name val="Calibri"/>
      <family val="2"/>
    </font>
    <font>
      <sz val="11"/>
      <color rgb="FF000000"/>
      <name val="Calibri"/>
      <family val="2"/>
    </font>
    <font>
      <u/>
      <sz val="11"/>
      <color theme="10"/>
      <name val="Calibri"/>
      <family val="2"/>
      <scheme val="minor"/>
    </font>
    <font>
      <b/>
      <sz val="14"/>
      <color theme="1"/>
      <name val="Calibri"/>
      <family val="2"/>
      <scheme val="minor"/>
    </font>
    <font>
      <i/>
      <sz val="11"/>
      <color rgb="FFFF0000"/>
      <name val="Calibri"/>
      <family val="2"/>
      <scheme val="minor"/>
    </font>
    <font>
      <b/>
      <sz val="18"/>
      <name val="Calibri"/>
      <family val="2"/>
    </font>
    <font>
      <i/>
      <sz val="11"/>
      <color theme="1"/>
      <name val="Calibri"/>
      <family val="2"/>
      <scheme val="minor"/>
    </font>
    <font>
      <sz val="11"/>
      <name val="Calibri"/>
      <family val="2"/>
      <scheme val="minor"/>
    </font>
    <font>
      <i/>
      <sz val="11"/>
      <name val="Calibri"/>
      <family val="2"/>
      <scheme val="minor"/>
    </font>
    <font>
      <sz val="11"/>
      <color theme="1"/>
      <name val="Arial"/>
      <family val="2"/>
    </font>
    <font>
      <b/>
      <sz val="12"/>
      <color theme="1"/>
      <name val="Arial"/>
      <family val="2"/>
    </font>
    <font>
      <i/>
      <sz val="10"/>
      <color theme="1"/>
      <name val="Arial"/>
      <family val="2"/>
    </font>
    <font>
      <b/>
      <i/>
      <sz val="10"/>
      <color rgb="FFFF0000"/>
      <name val="Arial"/>
      <family val="2"/>
    </font>
    <font>
      <i/>
      <sz val="10"/>
      <color rgb="FFFF0000"/>
      <name val="Arial"/>
      <family val="2"/>
    </font>
    <font>
      <b/>
      <sz val="18"/>
      <color theme="1"/>
      <name val="Arial"/>
      <family val="2"/>
    </font>
    <font>
      <b/>
      <sz val="11"/>
      <color theme="1"/>
      <name val="Arial"/>
      <family val="2"/>
    </font>
    <font>
      <b/>
      <sz val="16"/>
      <color theme="1"/>
      <name val="Calibri"/>
      <family val="2"/>
      <scheme val="minor"/>
    </font>
    <font>
      <b/>
      <sz val="20"/>
      <color theme="1"/>
      <name val="Arial"/>
      <family val="2"/>
    </font>
    <font>
      <b/>
      <sz val="11"/>
      <name val="Calibri"/>
      <family val="2"/>
      <scheme val="minor"/>
    </font>
    <font>
      <u/>
      <sz val="11"/>
      <color rgb="FF0000FF"/>
      <name val="Arial"/>
      <family val="2"/>
    </font>
    <font>
      <u/>
      <sz val="11"/>
      <color rgb="FF0000FF"/>
      <name val="Calibri"/>
      <family val="2"/>
      <scheme val="minor"/>
    </font>
    <font>
      <sz val="14"/>
      <color theme="1"/>
      <name val="Calibri"/>
      <family val="2"/>
      <scheme val="minor"/>
    </font>
    <font>
      <b/>
      <sz val="18"/>
      <color theme="1"/>
      <name val="Calibri"/>
      <family val="2"/>
      <scheme val="minor"/>
    </font>
    <font>
      <sz val="12"/>
      <color theme="1"/>
      <name val="Calibri"/>
      <family val="2"/>
      <scheme val="minor"/>
    </font>
    <font>
      <sz val="11"/>
      <color theme="1"/>
      <name val="Calibri"/>
      <family val="2"/>
    </font>
    <font>
      <b/>
      <sz val="14"/>
      <name val="Calibri"/>
      <family val="2"/>
      <scheme val="minor"/>
    </font>
    <font>
      <sz val="11"/>
      <color rgb="FF000000"/>
      <name val="Arial"/>
      <family val="2"/>
    </font>
    <font>
      <sz val="10"/>
      <color theme="8" tint="-0.249977111117893"/>
      <name val="Arial"/>
      <family val="2"/>
    </font>
  </fonts>
  <fills count="82">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9"/>
        <bgColor indexed="64"/>
      </patternFill>
    </fill>
    <fill>
      <patternFill patternType="solid">
        <fgColor indexed="22"/>
        <bgColor indexed="64"/>
      </patternFill>
    </fill>
    <fill>
      <patternFill patternType="solid">
        <fgColor indexed="47"/>
        <bgColor indexed="64"/>
      </patternFill>
    </fill>
    <fill>
      <patternFill patternType="solid">
        <fgColor indexed="51"/>
        <bgColor indexed="64"/>
      </patternFill>
    </fill>
    <fill>
      <patternFill patternType="solid">
        <fgColor indexed="11"/>
        <bgColor indexed="64"/>
      </patternFill>
    </fill>
    <fill>
      <patternFill patternType="solid">
        <fgColor indexed="55"/>
        <bgColor indexed="64"/>
      </patternFill>
    </fill>
    <fill>
      <patternFill patternType="solid">
        <fgColor theme="9" tint="0.79998168889431442"/>
        <bgColor indexed="64"/>
      </patternFill>
    </fill>
    <fill>
      <patternFill patternType="solid">
        <fgColor indexed="13"/>
        <bgColor indexed="64"/>
      </patternFill>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43"/>
      </patternFill>
    </fill>
    <fill>
      <patternFill patternType="solid">
        <fgColor indexed="45"/>
      </patternFill>
    </fill>
    <fill>
      <patternFill patternType="solid">
        <fgColor indexed="53"/>
      </patternFill>
    </fill>
    <fill>
      <patternFill patternType="solid">
        <fgColor indexed="51"/>
      </patternFill>
    </fill>
    <fill>
      <patternFill patternType="solid">
        <fgColor indexed="56"/>
      </patternFill>
    </fill>
    <fill>
      <patternFill patternType="solid">
        <fgColor indexed="54"/>
      </patternFill>
    </fill>
    <fill>
      <patternFill patternType="solid">
        <fgColor indexed="49"/>
      </patternFill>
    </fill>
    <fill>
      <patternFill patternType="solid">
        <fgColor indexed="10"/>
      </patternFill>
    </fill>
    <fill>
      <patternFill patternType="solid">
        <fgColor indexed="46"/>
      </patternFill>
    </fill>
    <fill>
      <patternFill patternType="solid">
        <fgColor indexed="9"/>
      </patternFill>
    </fill>
    <fill>
      <patternFill patternType="solid">
        <fgColor indexed="55"/>
      </patternFill>
    </fill>
    <fill>
      <patternFill patternType="solid">
        <fgColor indexed="17"/>
        <bgColor indexed="64"/>
      </patternFill>
    </fill>
    <fill>
      <patternFill patternType="solid">
        <fgColor rgb="FF006E5A"/>
        <bgColor indexed="64"/>
      </patternFill>
    </fill>
    <fill>
      <patternFill patternType="solid">
        <fgColor indexed="26"/>
        <bgColor indexed="64"/>
      </patternFill>
    </fill>
    <fill>
      <patternFill patternType="solid">
        <fgColor indexed="43"/>
        <bgColor indexed="64"/>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10"/>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24"/>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bgColor indexed="64"/>
      </patternFill>
    </fill>
  </fills>
  <borders count="4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18"/>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double">
        <color indexed="63"/>
      </left>
      <right style="double">
        <color indexed="63"/>
      </right>
      <top style="double">
        <color indexed="63"/>
      </top>
      <bottom style="double">
        <color indexed="63"/>
      </bottom>
      <diagonal/>
    </border>
    <border>
      <left/>
      <right style="medium">
        <color indexed="8"/>
      </right>
      <top/>
      <bottom/>
      <diagonal/>
    </border>
    <border>
      <left/>
      <right/>
      <top/>
      <bottom style="thick">
        <color indexed="56"/>
      </bottom>
      <diagonal/>
    </border>
    <border>
      <left/>
      <right/>
      <top/>
      <bottom style="thick">
        <color indexed="27"/>
      </bottom>
      <diagonal/>
    </border>
    <border>
      <left/>
      <right/>
      <top/>
      <bottom style="medium">
        <color indexed="27"/>
      </bottom>
      <diagonal/>
    </border>
    <border>
      <left/>
      <right style="medium">
        <color indexed="8"/>
      </right>
      <top/>
      <bottom style="medium">
        <color indexed="8"/>
      </bottom>
      <diagonal/>
    </border>
    <border>
      <left/>
      <right/>
      <top/>
      <bottom style="medium">
        <color indexed="8"/>
      </bottom>
      <diagonal/>
    </border>
    <border>
      <left/>
      <right/>
      <top/>
      <bottom style="double">
        <color indexed="1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4"/>
      </top>
      <bottom style="thin">
        <color indexed="63"/>
      </bottom>
      <diagonal/>
    </border>
    <border>
      <left/>
      <right/>
      <top style="thin">
        <color indexed="12"/>
      </top>
      <bottom style="thin">
        <color indexed="12"/>
      </bottom>
      <diagonal/>
    </border>
    <border>
      <left/>
      <right/>
      <top/>
      <bottom style="thin">
        <color indexed="12"/>
      </bottom>
      <diagonal/>
    </border>
    <border>
      <left/>
      <right/>
      <top style="thin">
        <color indexed="56"/>
      </top>
      <bottom style="double">
        <color indexed="56"/>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622">
    <xf numFmtId="0" fontId="0" fillId="0" borderId="0"/>
    <xf numFmtId="43" fontId="1" fillId="0" borderId="0" applyFont="0" applyFill="0" applyBorder="0" applyAlignment="0" applyProtection="0"/>
    <xf numFmtId="0" fontId="2" fillId="0" borderId="0" applyNumberFormat="0" applyFill="0" applyBorder="0" applyAlignment="0" applyProtection="0"/>
    <xf numFmtId="0" fontId="18" fillId="0" borderId="0"/>
    <xf numFmtId="43" fontId="20" fillId="0" borderId="0" applyFont="0" applyFill="0" applyBorder="0" applyAlignment="0" applyProtection="0"/>
    <xf numFmtId="44" fontId="20" fillId="0" borderId="0" applyFont="0" applyFill="0" applyBorder="0" applyAlignment="0" applyProtection="0"/>
    <xf numFmtId="0" fontId="20" fillId="0" borderId="0"/>
    <xf numFmtId="0" fontId="19" fillId="0" borderId="0"/>
    <xf numFmtId="3" fontId="20" fillId="0" borderId="0"/>
    <xf numFmtId="9" fontId="20" fillId="0" borderId="0" applyFont="0" applyFill="0" applyBorder="0" applyAlignment="0" applyProtection="0"/>
    <xf numFmtId="9" fontId="24" fillId="0" borderId="0" applyFont="0" applyFill="0" applyBorder="0" applyAlignment="0" applyProtection="0"/>
    <xf numFmtId="0" fontId="19" fillId="0" borderId="0"/>
    <xf numFmtId="44" fontId="20" fillId="0" borderId="0" applyFont="0" applyFill="0" applyBorder="0" applyAlignment="0" applyProtection="0"/>
    <xf numFmtId="0" fontId="19" fillId="0" borderId="0"/>
    <xf numFmtId="0" fontId="20" fillId="0" borderId="0"/>
    <xf numFmtId="0" fontId="19" fillId="0" borderId="0"/>
    <xf numFmtId="0" fontId="30" fillId="0" borderId="0"/>
    <xf numFmtId="0" fontId="20" fillId="0" borderId="0"/>
    <xf numFmtId="0" fontId="34" fillId="0" borderId="1" applyNumberFormat="0" applyFill="0" applyAlignment="0" applyProtection="0"/>
    <xf numFmtId="0" fontId="35" fillId="0" borderId="2" applyNumberFormat="0" applyFill="0" applyAlignment="0" applyProtection="0"/>
    <xf numFmtId="0" fontId="36" fillId="0" borderId="3" applyNumberFormat="0" applyFill="0" applyAlignment="0" applyProtection="0"/>
    <xf numFmtId="0" fontId="36" fillId="0" borderId="0" applyNumberFormat="0" applyFill="0" applyBorder="0" applyAlignment="0" applyProtection="0"/>
    <xf numFmtId="0" fontId="37" fillId="2" borderId="0" applyNumberFormat="0" applyBorder="0" applyAlignment="0" applyProtection="0"/>
    <xf numFmtId="0" fontId="38" fillId="3" borderId="0" applyNumberFormat="0" applyBorder="0" applyAlignment="0" applyProtection="0"/>
    <xf numFmtId="0" fontId="39" fillId="4" borderId="0" applyNumberFormat="0" applyBorder="0" applyAlignment="0" applyProtection="0"/>
    <xf numFmtId="0" fontId="40" fillId="5" borderId="4" applyNumberFormat="0" applyAlignment="0" applyProtection="0"/>
    <xf numFmtId="0" fontId="41" fillId="6" borderId="5" applyNumberFormat="0" applyAlignment="0" applyProtection="0"/>
    <xf numFmtId="0" fontId="42" fillId="6" borderId="4" applyNumberFormat="0" applyAlignment="0" applyProtection="0"/>
    <xf numFmtId="0" fontId="43" fillId="0" borderId="6" applyNumberFormat="0" applyFill="0" applyAlignment="0" applyProtection="0"/>
    <xf numFmtId="0" fontId="44" fillId="7" borderId="7" applyNumberFormat="0" applyAlignment="0" applyProtection="0"/>
    <xf numFmtId="0" fontId="29" fillId="0" borderId="0" applyNumberFormat="0" applyFill="0" applyBorder="0" applyAlignment="0" applyProtection="0"/>
    <xf numFmtId="0" fontId="45" fillId="0" borderId="0" applyNumberFormat="0" applyFill="0" applyBorder="0" applyAlignment="0" applyProtection="0"/>
    <xf numFmtId="0" fontId="31" fillId="0" borderId="9" applyNumberFormat="0" applyFill="0" applyAlignment="0" applyProtection="0"/>
    <xf numFmtId="0" fontId="46" fillId="9" borderId="0" applyNumberFormat="0" applyBorder="0" applyAlignment="0" applyProtection="0"/>
    <xf numFmtId="0" fontId="19" fillId="10" borderId="0" applyNumberFormat="0" applyBorder="0" applyAlignment="0" applyProtection="0"/>
    <xf numFmtId="0" fontId="19" fillId="11" borderId="0" applyNumberFormat="0" applyBorder="0" applyAlignment="0" applyProtection="0"/>
    <xf numFmtId="0" fontId="46" fillId="12" borderId="0" applyNumberFormat="0" applyBorder="0" applyAlignment="0" applyProtection="0"/>
    <xf numFmtId="0" fontId="46" fillId="13"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46" fillId="16" borderId="0" applyNumberFormat="0" applyBorder="0" applyAlignment="0" applyProtection="0"/>
    <xf numFmtId="0" fontId="46" fillId="17"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46" fillId="20" borderId="0" applyNumberFormat="0" applyBorder="0" applyAlignment="0" applyProtection="0"/>
    <xf numFmtId="0" fontId="46" fillId="21"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46" fillId="24" borderId="0" applyNumberFormat="0" applyBorder="0" applyAlignment="0" applyProtection="0"/>
    <xf numFmtId="0" fontId="46" fillId="25"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46" fillId="28" borderId="0" applyNumberFormat="0" applyBorder="0" applyAlignment="0" applyProtection="0"/>
    <xf numFmtId="0" fontId="46" fillId="29"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46" fillId="32" borderId="0" applyNumberFormat="0" applyBorder="0" applyAlignment="0" applyProtection="0"/>
    <xf numFmtId="0" fontId="19" fillId="0" borderId="0"/>
    <xf numFmtId="0" fontId="1" fillId="0" borderId="0"/>
    <xf numFmtId="0" fontId="19" fillId="0" borderId="0"/>
    <xf numFmtId="0" fontId="19" fillId="8" borderId="8" applyNumberFormat="0" applyFont="0" applyAlignment="0" applyProtection="0"/>
    <xf numFmtId="0" fontId="1" fillId="0" borderId="0"/>
    <xf numFmtId="43" fontId="1" fillId="0" borderId="0" applyFont="0" applyFill="0" applyBorder="0" applyAlignment="0" applyProtection="0"/>
    <xf numFmtId="0" fontId="1"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0" fillId="0" borderId="0"/>
    <xf numFmtId="43" fontId="20" fillId="0" borderId="0" applyFont="0" applyFill="0" applyBorder="0" applyAlignment="0" applyProtection="0"/>
    <xf numFmtId="44" fontId="20" fillId="0" borderId="0" applyFont="0" applyFill="0" applyBorder="0" applyAlignment="0" applyProtection="0"/>
    <xf numFmtId="0" fontId="19" fillId="0" borderId="0"/>
    <xf numFmtId="9" fontId="20" fillId="0" borderId="0" applyFont="0" applyFill="0" applyBorder="0" applyAlignment="0" applyProtection="0"/>
    <xf numFmtId="9" fontId="24" fillId="0" borderId="0" applyFont="0" applyFill="0" applyBorder="0" applyAlignment="0" applyProtection="0"/>
    <xf numFmtId="0" fontId="19" fillId="0" borderId="0"/>
    <xf numFmtId="44" fontId="20" fillId="0" borderId="0" applyFont="0" applyFill="0" applyBorder="0" applyAlignment="0" applyProtection="0"/>
    <xf numFmtId="0" fontId="19" fillId="0" borderId="0"/>
    <xf numFmtId="0" fontId="19" fillId="0" borderId="0"/>
    <xf numFmtId="0" fontId="34" fillId="0" borderId="1" applyNumberFormat="0" applyFill="0" applyAlignment="0" applyProtection="0"/>
    <xf numFmtId="0" fontId="35" fillId="0" borderId="2" applyNumberFormat="0" applyFill="0" applyAlignment="0" applyProtection="0"/>
    <xf numFmtId="0" fontId="36" fillId="0" borderId="3" applyNumberFormat="0" applyFill="0" applyAlignment="0" applyProtection="0"/>
    <xf numFmtId="0" fontId="36" fillId="0" borderId="0" applyNumberFormat="0" applyFill="0" applyBorder="0" applyAlignment="0" applyProtection="0"/>
    <xf numFmtId="0" fontId="37" fillId="2" borderId="0" applyNumberFormat="0" applyBorder="0" applyAlignment="0" applyProtection="0"/>
    <xf numFmtId="0" fontId="38" fillId="3" borderId="0" applyNumberFormat="0" applyBorder="0" applyAlignment="0" applyProtection="0"/>
    <xf numFmtId="0" fontId="39" fillId="4" borderId="0" applyNumberFormat="0" applyBorder="0" applyAlignment="0" applyProtection="0"/>
    <xf numFmtId="0" fontId="40" fillId="5" borderId="4" applyNumberFormat="0" applyAlignment="0" applyProtection="0"/>
    <xf numFmtId="0" fontId="41" fillId="6" borderId="5" applyNumberFormat="0" applyAlignment="0" applyProtection="0"/>
    <xf numFmtId="0" fontId="42" fillId="6" borderId="4" applyNumberFormat="0" applyAlignment="0" applyProtection="0"/>
    <xf numFmtId="0" fontId="43" fillId="0" borderId="6" applyNumberFormat="0" applyFill="0" applyAlignment="0" applyProtection="0"/>
    <xf numFmtId="0" fontId="44" fillId="7" borderId="7" applyNumberFormat="0" applyAlignment="0" applyProtection="0"/>
    <xf numFmtId="0" fontId="29" fillId="0" borderId="0" applyNumberFormat="0" applyFill="0" applyBorder="0" applyAlignment="0" applyProtection="0"/>
    <xf numFmtId="0" fontId="45" fillId="0" borderId="0" applyNumberFormat="0" applyFill="0" applyBorder="0" applyAlignment="0" applyProtection="0"/>
    <xf numFmtId="0" fontId="31" fillId="0" borderId="9" applyNumberFormat="0" applyFill="0" applyAlignment="0" applyProtection="0"/>
    <xf numFmtId="0" fontId="46" fillId="9" borderId="0" applyNumberFormat="0" applyBorder="0" applyAlignment="0" applyProtection="0"/>
    <xf numFmtId="0" fontId="19" fillId="10" borderId="0" applyNumberFormat="0" applyBorder="0" applyAlignment="0" applyProtection="0"/>
    <xf numFmtId="0" fontId="19" fillId="11" borderId="0" applyNumberFormat="0" applyBorder="0" applyAlignment="0" applyProtection="0"/>
    <xf numFmtId="0" fontId="46" fillId="12" borderId="0" applyNumberFormat="0" applyBorder="0" applyAlignment="0" applyProtection="0"/>
    <xf numFmtId="0" fontId="46" fillId="13"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46" fillId="16" borderId="0" applyNumberFormat="0" applyBorder="0" applyAlignment="0" applyProtection="0"/>
    <xf numFmtId="0" fontId="46" fillId="17"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46" fillId="20" borderId="0" applyNumberFormat="0" applyBorder="0" applyAlignment="0" applyProtection="0"/>
    <xf numFmtId="0" fontId="46" fillId="21"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46" fillId="24" borderId="0" applyNumberFormat="0" applyBorder="0" applyAlignment="0" applyProtection="0"/>
    <xf numFmtId="0" fontId="46" fillId="25"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46" fillId="28" borderId="0" applyNumberFormat="0" applyBorder="0" applyAlignment="0" applyProtection="0"/>
    <xf numFmtId="0" fontId="46" fillId="29"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46" fillId="32" borderId="0" applyNumberFormat="0" applyBorder="0" applyAlignment="0" applyProtection="0"/>
    <xf numFmtId="0" fontId="19" fillId="0" borderId="0"/>
    <xf numFmtId="0" fontId="1" fillId="0" borderId="0"/>
    <xf numFmtId="0" fontId="19" fillId="0" borderId="0"/>
    <xf numFmtId="0" fontId="19" fillId="8" borderId="8" applyNumberFormat="0" applyFont="0" applyAlignment="0" applyProtection="0"/>
    <xf numFmtId="0" fontId="48" fillId="0" borderId="0" applyNumberFormat="0" applyFill="0" applyBorder="0" applyAlignment="0" applyProtection="0"/>
    <xf numFmtId="0" fontId="24" fillId="0" borderId="0"/>
    <xf numFmtId="9" fontId="1"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49" fillId="0" borderId="23" applyNumberFormat="0" applyFill="0" applyProtection="0">
      <alignment horizontal="center"/>
    </xf>
    <xf numFmtId="164" fontId="20" fillId="0" borderId="0" applyFont="0" applyFill="0" applyBorder="0" applyProtection="0">
      <alignment horizontal="right"/>
    </xf>
    <xf numFmtId="164" fontId="20" fillId="0" borderId="0" applyFont="0" applyFill="0" applyBorder="0" applyProtection="0">
      <alignment horizontal="right"/>
    </xf>
    <xf numFmtId="0" fontId="1" fillId="10" borderId="0" applyNumberFormat="0" applyBorder="0" applyAlignment="0" applyProtection="0"/>
    <xf numFmtId="0" fontId="50" fillId="41" borderId="0" applyNumberFormat="0" applyBorder="0" applyAlignment="0" applyProtection="0"/>
    <xf numFmtId="0" fontId="1" fillId="14" borderId="0" applyNumberFormat="0" applyBorder="0" applyAlignment="0" applyProtection="0"/>
    <xf numFmtId="0" fontId="50" fillId="42" borderId="0" applyNumberFormat="0" applyBorder="0" applyAlignment="0" applyProtection="0"/>
    <xf numFmtId="0" fontId="1" fillId="18" borderId="0" applyNumberFormat="0" applyBorder="0" applyAlignment="0" applyProtection="0"/>
    <xf numFmtId="0" fontId="50" fillId="43" borderId="0" applyNumberFormat="0" applyBorder="0" applyAlignment="0" applyProtection="0"/>
    <xf numFmtId="0" fontId="1" fillId="22" borderId="0" applyNumberFormat="0" applyBorder="0" applyAlignment="0" applyProtection="0"/>
    <xf numFmtId="0" fontId="50" fillId="44" borderId="0" applyNumberFormat="0" applyBorder="0" applyAlignment="0" applyProtection="0"/>
    <xf numFmtId="0" fontId="1" fillId="26" borderId="0" applyNumberFormat="0" applyBorder="0" applyAlignment="0" applyProtection="0"/>
    <xf numFmtId="0" fontId="50" fillId="45" borderId="0" applyNumberFormat="0" applyBorder="0" applyAlignment="0" applyProtection="0"/>
    <xf numFmtId="0" fontId="1" fillId="30" borderId="0" applyNumberFormat="0" applyBorder="0" applyAlignment="0" applyProtection="0"/>
    <xf numFmtId="0" fontId="50" fillId="43" borderId="0" applyNumberFormat="0" applyBorder="0" applyAlignment="0" applyProtection="0"/>
    <xf numFmtId="167" fontId="20" fillId="0" borderId="0" applyFont="0" applyFill="0" applyBorder="0" applyProtection="0">
      <alignment horizontal="right"/>
    </xf>
    <xf numFmtId="167" fontId="20" fillId="0" borderId="0" applyFont="0" applyFill="0" applyBorder="0" applyProtection="0">
      <alignment horizontal="right"/>
    </xf>
    <xf numFmtId="0" fontId="1" fillId="11" borderId="0" applyNumberFormat="0" applyBorder="0" applyAlignment="0" applyProtection="0"/>
    <xf numFmtId="0" fontId="50" fillId="45" borderId="0" applyNumberFormat="0" applyBorder="0" applyAlignment="0" applyProtection="0"/>
    <xf numFmtId="0" fontId="1" fillId="15" borderId="0" applyNumberFormat="0" applyBorder="0" applyAlignment="0" applyProtection="0"/>
    <xf numFmtId="0" fontId="50" fillId="42" borderId="0" applyNumberFormat="0" applyBorder="0" applyAlignment="0" applyProtection="0"/>
    <xf numFmtId="0" fontId="1" fillId="19" borderId="0" applyNumberFormat="0" applyBorder="0" applyAlignment="0" applyProtection="0"/>
    <xf numFmtId="0" fontId="50" fillId="46" borderId="0" applyNumberFormat="0" applyBorder="0" applyAlignment="0" applyProtection="0"/>
    <xf numFmtId="0" fontId="1" fillId="23" borderId="0" applyNumberFormat="0" applyBorder="0" applyAlignment="0" applyProtection="0"/>
    <xf numFmtId="0" fontId="50" fillId="47" borderId="0" applyNumberFormat="0" applyBorder="0" applyAlignment="0" applyProtection="0"/>
    <xf numFmtId="0" fontId="1" fillId="27" borderId="0" applyNumberFormat="0" applyBorder="0" applyAlignment="0" applyProtection="0"/>
    <xf numFmtId="0" fontId="50" fillId="45" borderId="0" applyNumberFormat="0" applyBorder="0" applyAlignment="0" applyProtection="0"/>
    <xf numFmtId="0" fontId="1" fillId="31" borderId="0" applyNumberFormat="0" applyBorder="0" applyAlignment="0" applyProtection="0"/>
    <xf numFmtId="0" fontId="50" fillId="43" borderId="0" applyNumberFormat="0" applyBorder="0" applyAlignment="0" applyProtection="0"/>
    <xf numFmtId="168" fontId="20" fillId="0" borderId="0" applyFont="0" applyFill="0" applyBorder="0" applyProtection="0">
      <alignment horizontal="right"/>
    </xf>
    <xf numFmtId="168" fontId="20" fillId="0" borderId="0" applyFont="0" applyFill="0" applyBorder="0" applyProtection="0">
      <alignment horizontal="right"/>
    </xf>
    <xf numFmtId="0" fontId="17" fillId="12" borderId="0" applyNumberFormat="0" applyBorder="0" applyAlignment="0" applyProtection="0"/>
    <xf numFmtId="0" fontId="51" fillId="45" borderId="0" applyNumberFormat="0" applyBorder="0" applyAlignment="0" applyProtection="0"/>
    <xf numFmtId="0" fontId="17" fillId="16" borderId="0" applyNumberFormat="0" applyBorder="0" applyAlignment="0" applyProtection="0"/>
    <xf numFmtId="0" fontId="51" fillId="48" borderId="0" applyNumberFormat="0" applyBorder="0" applyAlignment="0" applyProtection="0"/>
    <xf numFmtId="0" fontId="17" fillId="20" borderId="0" applyNumberFormat="0" applyBorder="0" applyAlignment="0" applyProtection="0"/>
    <xf numFmtId="0" fontId="51" fillId="49" borderId="0" applyNumberFormat="0" applyBorder="0" applyAlignment="0" applyProtection="0"/>
    <xf numFmtId="0" fontId="17" fillId="24" borderId="0" applyNumberFormat="0" applyBorder="0" applyAlignment="0" applyProtection="0"/>
    <xf numFmtId="0" fontId="51" fillId="47" borderId="0" applyNumberFormat="0" applyBorder="0" applyAlignment="0" applyProtection="0"/>
    <xf numFmtId="0" fontId="17" fillId="28" borderId="0" applyNumberFormat="0" applyBorder="0" applyAlignment="0" applyProtection="0"/>
    <xf numFmtId="0" fontId="51" fillId="45" borderId="0" applyNumberFormat="0" applyBorder="0" applyAlignment="0" applyProtection="0"/>
    <xf numFmtId="0" fontId="17" fillId="32" borderId="0" applyNumberFormat="0" applyBorder="0" applyAlignment="0" applyProtection="0"/>
    <xf numFmtId="0" fontId="51" fillId="42" borderId="0" applyNumberFormat="0" applyBorder="0" applyAlignment="0" applyProtection="0"/>
    <xf numFmtId="0" fontId="17" fillId="9" borderId="0" applyNumberFormat="0" applyBorder="0" applyAlignment="0" applyProtection="0"/>
    <xf numFmtId="0" fontId="51" fillId="50" borderId="0" applyNumberFormat="0" applyBorder="0" applyAlignment="0" applyProtection="0"/>
    <xf numFmtId="0" fontId="17" fillId="13" borderId="0" applyNumberFormat="0" applyBorder="0" applyAlignment="0" applyProtection="0"/>
    <xf numFmtId="0" fontId="51" fillId="48" borderId="0" applyNumberFormat="0" applyBorder="0" applyAlignment="0" applyProtection="0"/>
    <xf numFmtId="0" fontId="17" fillId="17" borderId="0" applyNumberFormat="0" applyBorder="0" applyAlignment="0" applyProtection="0"/>
    <xf numFmtId="0" fontId="51" fillId="49" borderId="0" applyNumberFormat="0" applyBorder="0" applyAlignment="0" applyProtection="0"/>
    <xf numFmtId="0" fontId="17" fillId="21" borderId="0" applyNumberFormat="0" applyBorder="0" applyAlignment="0" applyProtection="0"/>
    <xf numFmtId="0" fontId="51" fillId="51" borderId="0" applyNumberFormat="0" applyBorder="0" applyAlignment="0" applyProtection="0"/>
    <xf numFmtId="0" fontId="17" fillId="25" borderId="0" applyNumberFormat="0" applyBorder="0" applyAlignment="0" applyProtection="0"/>
    <xf numFmtId="0" fontId="51" fillId="52" borderId="0" applyNumberFormat="0" applyBorder="0" applyAlignment="0" applyProtection="0"/>
    <xf numFmtId="0" fontId="17" fillId="29" borderId="0" applyNumberFormat="0" applyBorder="0" applyAlignment="0" applyProtection="0"/>
    <xf numFmtId="0" fontId="51" fillId="53" borderId="0" applyNumberFormat="0" applyBorder="0" applyAlignment="0" applyProtection="0"/>
    <xf numFmtId="0" fontId="20" fillId="0" borderId="0" applyNumberFormat="0" applyFill="0" applyBorder="0" applyAlignment="0" applyProtection="0"/>
    <xf numFmtId="0" fontId="52" fillId="0" borderId="0" applyNumberFormat="0" applyFont="0" applyBorder="0" applyAlignment="0">
      <alignment horizontal="left" vertical="center"/>
    </xf>
    <xf numFmtId="0" fontId="7" fillId="3" borderId="0" applyNumberFormat="0" applyBorder="0" applyAlignment="0" applyProtection="0"/>
    <xf numFmtId="0" fontId="53" fillId="54" borderId="0" applyNumberFormat="0" applyBorder="0" applyAlignment="0" applyProtection="0"/>
    <xf numFmtId="169" fontId="20" fillId="0" borderId="0" applyBorder="0"/>
    <xf numFmtId="0" fontId="11" fillId="6" borderId="4" applyNumberFormat="0" applyAlignment="0" applyProtection="0"/>
    <xf numFmtId="0" fontId="54" fillId="55" borderId="24" applyNumberFormat="0" applyAlignment="0" applyProtection="0"/>
    <xf numFmtId="170" fontId="20" fillId="33" borderId="25">
      <alignment horizontal="right" vertical="top"/>
    </xf>
    <xf numFmtId="0" fontId="20" fillId="33" borderId="25">
      <alignment horizontal="left" indent="5"/>
    </xf>
    <xf numFmtId="3" fontId="20" fillId="33" borderId="25">
      <alignment horizontal="right"/>
    </xf>
    <xf numFmtId="3" fontId="20" fillId="33" borderId="25">
      <alignment horizontal="right"/>
    </xf>
    <xf numFmtId="170" fontId="20" fillId="33" borderId="21" applyNumberFormat="0">
      <alignment horizontal="right" vertical="top"/>
    </xf>
    <xf numFmtId="0" fontId="20" fillId="33" borderId="21">
      <alignment horizontal="left" indent="3"/>
    </xf>
    <xf numFmtId="3" fontId="20" fillId="33" borderId="21">
      <alignment horizontal="right"/>
    </xf>
    <xf numFmtId="170" fontId="22" fillId="33" borderId="21" applyNumberFormat="0">
      <alignment horizontal="right" vertical="top"/>
    </xf>
    <xf numFmtId="0" fontId="22" fillId="33" borderId="21">
      <alignment horizontal="left" indent="1"/>
    </xf>
    <xf numFmtId="0" fontId="22" fillId="33" borderId="21">
      <alignment horizontal="right" vertical="top"/>
    </xf>
    <xf numFmtId="0" fontId="22" fillId="33" borderId="21"/>
    <xf numFmtId="171" fontId="22" fillId="33" borderId="21">
      <alignment horizontal="right"/>
    </xf>
    <xf numFmtId="3" fontId="22" fillId="33" borderId="21">
      <alignment horizontal="right"/>
    </xf>
    <xf numFmtId="0" fontId="20" fillId="33" borderId="26" applyFont="0" applyFill="0" applyAlignment="0"/>
    <xf numFmtId="0" fontId="22" fillId="33" borderId="21">
      <alignment horizontal="right" vertical="top"/>
    </xf>
    <xf numFmtId="0" fontId="22" fillId="33" borderId="21">
      <alignment horizontal="left" indent="2"/>
    </xf>
    <xf numFmtId="3" fontId="22" fillId="33" borderId="21">
      <alignment horizontal="right"/>
    </xf>
    <xf numFmtId="170" fontId="20" fillId="33" borderId="21" applyNumberFormat="0">
      <alignment horizontal="right" vertical="top"/>
    </xf>
    <xf numFmtId="0" fontId="20" fillId="33" borderId="21">
      <alignment horizontal="left" indent="3"/>
    </xf>
    <xf numFmtId="3" fontId="20" fillId="33" borderId="21">
      <alignment horizontal="right"/>
    </xf>
    <xf numFmtId="3" fontId="20" fillId="33" borderId="21">
      <alignment horizontal="right"/>
    </xf>
    <xf numFmtId="0" fontId="13" fillId="7" borderId="7" applyNumberFormat="0" applyAlignment="0" applyProtection="0"/>
    <xf numFmtId="0" fontId="55" fillId="56" borderId="27" applyNumberFormat="0" applyAlignment="0" applyProtection="0"/>
    <xf numFmtId="168" fontId="56" fillId="0" borderId="0" applyFont="0" applyFill="0" applyBorder="0" applyProtection="0">
      <alignment horizontal="right"/>
    </xf>
    <xf numFmtId="172" fontId="56" fillId="0" borderId="0" applyFont="0" applyFill="0" applyBorder="0" applyProtection="0">
      <alignment horizontal="left"/>
    </xf>
    <xf numFmtId="43" fontId="20"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7" fillId="0" borderId="0" applyFont="0" applyFill="0" applyBorder="0" applyAlignment="0" applyProtection="0"/>
    <xf numFmtId="43" fontId="20" fillId="0" borderId="0" applyFont="0" applyFill="0" applyBorder="0" applyAlignment="0" applyProtection="0"/>
    <xf numFmtId="43" fontId="47"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47"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3" fontId="20" fillId="0" borderId="0" applyFont="0" applyFill="0" applyBorder="0" applyAlignment="0" applyProtection="0"/>
    <xf numFmtId="43" fontId="47" fillId="0" borderId="0" applyFont="0" applyFill="0" applyBorder="0" applyAlignment="0" applyProtection="0"/>
    <xf numFmtId="43" fontId="20" fillId="0" borderId="0" applyFont="0" applyFill="0" applyBorder="0" applyAlignment="0" applyProtection="0"/>
    <xf numFmtId="43" fontId="47"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47" fillId="0" borderId="0" applyFont="0" applyFill="0" applyBorder="0" applyAlignment="0" applyProtection="0"/>
    <xf numFmtId="43" fontId="24"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4" fontId="47" fillId="0" borderId="0" applyFont="0" applyFill="0" applyBorder="0" applyAlignment="0" applyProtection="0"/>
    <xf numFmtId="44" fontId="47" fillId="0" borderId="0" applyFont="0" applyFill="0" applyBorder="0" applyAlignment="0" applyProtection="0"/>
    <xf numFmtId="44" fontId="1" fillId="0" borderId="0" applyFont="0" applyFill="0" applyBorder="0" applyAlignment="0" applyProtection="0"/>
    <xf numFmtId="44" fontId="47" fillId="0" borderId="0" applyFont="0" applyFill="0" applyBorder="0" applyAlignment="0" applyProtection="0"/>
    <xf numFmtId="44" fontId="47" fillId="0" borderId="0" applyFont="0" applyFill="0" applyBorder="0" applyAlignment="0" applyProtection="0"/>
    <xf numFmtId="0" fontId="57" fillId="0" borderId="12" applyNumberFormat="0" applyBorder="0" applyAlignment="0" applyProtection="0">
      <alignment horizontal="right" vertical="center"/>
    </xf>
    <xf numFmtId="173" fontId="20" fillId="0" borderId="0" applyFont="0" applyFill="0" applyBorder="0" applyAlignment="0" applyProtection="0"/>
    <xf numFmtId="0" fontId="15" fillId="0" borderId="0" applyNumberFormat="0" applyFill="0" applyBorder="0" applyAlignment="0" applyProtection="0"/>
    <xf numFmtId="0" fontId="58" fillId="0" borderId="0" applyNumberFormat="0" applyFill="0" applyBorder="0" applyAlignment="0" applyProtection="0"/>
    <xf numFmtId="0" fontId="59" fillId="0" borderId="0">
      <alignment horizontal="right"/>
      <protection locked="0"/>
    </xf>
    <xf numFmtId="0" fontId="60" fillId="0" borderId="0">
      <alignment horizontal="left"/>
    </xf>
    <xf numFmtId="0" fontId="61" fillId="0" borderId="0">
      <alignment horizontal="left"/>
    </xf>
    <xf numFmtId="0" fontId="20" fillId="0" borderId="0" applyFont="0" applyFill="0" applyBorder="0" applyProtection="0">
      <alignment horizontal="right"/>
    </xf>
    <xf numFmtId="0" fontId="20" fillId="0" borderId="0" applyFont="0" applyFill="0" applyBorder="0" applyProtection="0">
      <alignment horizontal="right"/>
    </xf>
    <xf numFmtId="0" fontId="6" fillId="2" borderId="0" applyNumberFormat="0" applyBorder="0" applyAlignment="0" applyProtection="0"/>
    <xf numFmtId="0" fontId="62" fillId="45" borderId="0" applyNumberFormat="0" applyBorder="0" applyAlignment="0" applyProtection="0"/>
    <xf numFmtId="38" fontId="21" fillId="34" borderId="0" applyNumberFormat="0" applyBorder="0" applyAlignment="0" applyProtection="0"/>
    <xf numFmtId="0" fontId="63" fillId="57" borderId="28" applyProtection="0">
      <alignment horizontal="right"/>
    </xf>
    <xf numFmtId="0" fontId="64" fillId="58" borderId="0"/>
    <xf numFmtId="0" fontId="65" fillId="57" borderId="0" applyProtection="0">
      <alignment horizontal="left"/>
    </xf>
    <xf numFmtId="0" fontId="3" fillId="0" borderId="1" applyNumberFormat="0" applyFill="0" applyAlignment="0" applyProtection="0"/>
    <xf numFmtId="0" fontId="66" fillId="0" borderId="0">
      <alignment vertical="top" wrapText="1"/>
    </xf>
    <xf numFmtId="0" fontId="66" fillId="0" borderId="0">
      <alignment vertical="top" wrapText="1"/>
    </xf>
    <xf numFmtId="0" fontId="67" fillId="0" borderId="29" applyNumberFormat="0" applyFill="0" applyAlignment="0" applyProtection="0"/>
    <xf numFmtId="0" fontId="66" fillId="0" borderId="0">
      <alignment vertical="top" wrapText="1"/>
    </xf>
    <xf numFmtId="0" fontId="4" fillId="0" borderId="2" applyNumberFormat="0" applyFill="0" applyAlignment="0" applyProtection="0"/>
    <xf numFmtId="0" fontId="68" fillId="0" borderId="30" applyNumberFormat="0" applyFill="0" applyAlignment="0" applyProtection="0"/>
    <xf numFmtId="0" fontId="5" fillId="0" borderId="3" applyNumberFormat="0" applyFill="0" applyAlignment="0" applyProtection="0"/>
    <xf numFmtId="0" fontId="69" fillId="0" borderId="31" applyNumberFormat="0" applyFill="0" applyAlignment="0" applyProtection="0"/>
    <xf numFmtId="0" fontId="5" fillId="0" borderId="0" applyNumberFormat="0" applyFill="0" applyBorder="0" applyAlignment="0" applyProtection="0"/>
    <xf numFmtId="0" fontId="69" fillId="0" borderId="0" applyNumberFormat="0" applyFill="0" applyBorder="0" applyAlignment="0" applyProtection="0"/>
    <xf numFmtId="174" fontId="33" fillId="0" borderId="0" applyNumberFormat="0" applyFill="0" applyAlignment="0" applyProtection="0"/>
    <xf numFmtId="174" fontId="32" fillId="0" borderId="0" applyNumberFormat="0" applyFill="0" applyAlignment="0" applyProtection="0"/>
    <xf numFmtId="174" fontId="32" fillId="0" borderId="0" applyNumberFormat="0" applyFont="0" applyFill="0" applyBorder="0" applyAlignment="0" applyProtection="0"/>
    <xf numFmtId="174" fontId="32" fillId="0" borderId="0" applyNumberFormat="0" applyFont="0" applyFill="0" applyBorder="0" applyAlignment="0" applyProtection="0"/>
    <xf numFmtId="0" fontId="70" fillId="0" borderId="0" applyNumberFormat="0" applyFill="0" applyBorder="0" applyAlignment="0" applyProtection="0"/>
    <xf numFmtId="0" fontId="71" fillId="0" borderId="0" applyNumberFormat="0" applyFill="0" applyBorder="0" applyAlignment="0" applyProtection="0">
      <alignment vertical="top"/>
      <protection locked="0"/>
    </xf>
    <xf numFmtId="0" fontId="71" fillId="0" borderId="0" applyNumberFormat="0" applyFill="0" applyBorder="0" applyAlignment="0" applyProtection="0">
      <alignment vertical="top"/>
      <protection locked="0"/>
    </xf>
    <xf numFmtId="0" fontId="72" fillId="0" borderId="0" applyNumberFormat="0" applyFill="0" applyBorder="0" applyAlignment="0" applyProtection="0"/>
    <xf numFmtId="0" fontId="73"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74" fillId="0" borderId="0" applyNumberFormat="0" applyFill="0" applyBorder="0" applyAlignment="0" applyProtection="0">
      <alignment vertical="top"/>
      <protection locked="0"/>
    </xf>
    <xf numFmtId="0" fontId="75" fillId="0" borderId="0" applyNumberFormat="0" applyFont="0" applyFill="0" applyBorder="0" applyAlignment="0" applyProtection="0"/>
    <xf numFmtId="0" fontId="76" fillId="0" borderId="0" applyNumberFormat="0" applyFill="0" applyBorder="0" applyAlignment="0" applyProtection="0"/>
    <xf numFmtId="0" fontId="70" fillId="0" borderId="0" applyNumberFormat="0" applyFill="0" applyBorder="0" applyAlignment="0" applyProtection="0"/>
    <xf numFmtId="0" fontId="71" fillId="0" borderId="0" applyNumberFormat="0" applyFill="0" applyBorder="0" applyAlignment="0" applyProtection="0">
      <alignment vertical="top"/>
      <protection locked="0"/>
    </xf>
    <xf numFmtId="0" fontId="26" fillId="0" borderId="0" applyFill="0" applyBorder="0" applyProtection="0">
      <alignment horizontal="left"/>
    </xf>
    <xf numFmtId="10" fontId="21" fillId="59" borderId="21" applyNumberFormat="0" applyBorder="0" applyAlignment="0" applyProtection="0"/>
    <xf numFmtId="0" fontId="77" fillId="44" borderId="24" applyNumberFormat="0" applyAlignment="0" applyProtection="0"/>
    <xf numFmtId="0" fontId="77" fillId="44" borderId="24" applyNumberFormat="0" applyAlignment="0" applyProtection="0"/>
    <xf numFmtId="0" fontId="77" fillId="44" borderId="24" applyNumberFormat="0" applyAlignment="0" applyProtection="0"/>
    <xf numFmtId="0" fontId="77" fillId="44" borderId="24" applyNumberFormat="0" applyAlignment="0" applyProtection="0"/>
    <xf numFmtId="0" fontId="77" fillId="44" borderId="24" applyNumberFormat="0" applyAlignment="0" applyProtection="0"/>
    <xf numFmtId="0" fontId="77" fillId="44" borderId="24" applyNumberFormat="0" applyAlignment="0" applyProtection="0"/>
    <xf numFmtId="0" fontId="77" fillId="44" borderId="24" applyNumberFormat="0" applyAlignment="0" applyProtection="0"/>
    <xf numFmtId="0" fontId="77" fillId="44" borderId="24" applyNumberFormat="0" applyAlignment="0" applyProtection="0"/>
    <xf numFmtId="0" fontId="77" fillId="44" borderId="24" applyNumberFormat="0" applyAlignment="0" applyProtection="0"/>
    <xf numFmtId="0" fontId="77" fillId="44" borderId="24" applyNumberFormat="0" applyAlignment="0" applyProtection="0"/>
    <xf numFmtId="0" fontId="9" fillId="5" borderId="4" applyNumberFormat="0" applyAlignment="0" applyProtection="0"/>
    <xf numFmtId="0" fontId="77" fillId="46" borderId="24" applyNumberFormat="0" applyAlignment="0" applyProtection="0"/>
    <xf numFmtId="0" fontId="77" fillId="44" borderId="24" applyNumberFormat="0" applyAlignment="0" applyProtection="0"/>
    <xf numFmtId="0" fontId="77" fillId="44" borderId="24" applyNumberFormat="0" applyAlignment="0" applyProtection="0"/>
    <xf numFmtId="0" fontId="77" fillId="44" borderId="24" applyNumberFormat="0" applyAlignment="0" applyProtection="0"/>
    <xf numFmtId="0" fontId="77" fillId="44" borderId="24" applyNumberFormat="0" applyAlignment="0" applyProtection="0"/>
    <xf numFmtId="0" fontId="77" fillId="44" borderId="24" applyNumberFormat="0" applyAlignment="0" applyProtection="0"/>
    <xf numFmtId="0" fontId="77" fillId="44" borderId="24" applyNumberFormat="0" applyAlignment="0" applyProtection="0"/>
    <xf numFmtId="0" fontId="63" fillId="0" borderId="32" applyProtection="0">
      <alignment horizontal="right"/>
    </xf>
    <xf numFmtId="0" fontId="63" fillId="0" borderId="28" applyProtection="0">
      <alignment horizontal="right"/>
    </xf>
    <xf numFmtId="0" fontId="63" fillId="0" borderId="33" applyProtection="0">
      <alignment horizontal="center"/>
      <protection locked="0"/>
    </xf>
    <xf numFmtId="0" fontId="12" fillId="0" borderId="6" applyNumberFormat="0" applyFill="0" applyAlignment="0" applyProtection="0"/>
    <xf numFmtId="0" fontId="78" fillId="0" borderId="34" applyNumberFormat="0" applyFill="0" applyAlignment="0" applyProtection="0"/>
    <xf numFmtId="0" fontId="20" fillId="0" borderId="0"/>
    <xf numFmtId="0" fontId="20" fillId="0" borderId="0"/>
    <xf numFmtId="0" fontId="20" fillId="0" borderId="0"/>
    <xf numFmtId="1" fontId="20" fillId="0" borderId="0" applyFont="0" applyFill="0" applyBorder="0" applyProtection="0">
      <alignment horizontal="right"/>
    </xf>
    <xf numFmtId="1" fontId="20" fillId="0" borderId="0" applyFont="0" applyFill="0" applyBorder="0" applyProtection="0">
      <alignment horizontal="right"/>
    </xf>
    <xf numFmtId="0" fontId="8" fillId="4" borderId="0" applyNumberFormat="0" applyBorder="0" applyAlignment="0" applyProtection="0"/>
    <xf numFmtId="0" fontId="79" fillId="46" borderId="0" applyNumberFormat="0" applyBorder="0" applyAlignment="0" applyProtection="0"/>
    <xf numFmtId="0" fontId="80" fillId="0" borderId="0"/>
    <xf numFmtId="0" fontId="80" fillId="0" borderId="0"/>
    <xf numFmtId="0" fontId="80" fillId="0" borderId="0"/>
    <xf numFmtId="0" fontId="80" fillId="0" borderId="0"/>
    <xf numFmtId="0" fontId="80" fillId="0" borderId="0"/>
    <xf numFmtId="0" fontId="4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9" fillId="0" borderId="0"/>
    <xf numFmtId="0" fontId="75" fillId="0" borderId="0"/>
    <xf numFmtId="0" fontId="1" fillId="0" borderId="0"/>
    <xf numFmtId="0" fontId="1" fillId="0" borderId="0"/>
    <xf numFmtId="0" fontId="47" fillId="0" borderId="0"/>
    <xf numFmtId="0" fontId="75" fillId="0" borderId="0"/>
    <xf numFmtId="0" fontId="75" fillId="0" borderId="0"/>
    <xf numFmtId="0" fontId="24" fillId="0" borderId="0"/>
    <xf numFmtId="0" fontId="24" fillId="0" borderId="0"/>
    <xf numFmtId="0" fontId="75" fillId="0" borderId="0"/>
    <xf numFmtId="0" fontId="20" fillId="0" borderId="0"/>
    <xf numFmtId="0" fontId="24" fillId="0" borderId="0"/>
    <xf numFmtId="0" fontId="47" fillId="0" borderId="0"/>
    <xf numFmtId="0" fontId="1" fillId="0" borderId="0"/>
    <xf numFmtId="0" fontId="81" fillId="0" borderId="0" applyNumberFormat="0" applyFont="0" applyBorder="0" applyProtection="0"/>
    <xf numFmtId="0" fontId="20" fillId="0" borderId="0"/>
    <xf numFmtId="0" fontId="1" fillId="0" borderId="0"/>
    <xf numFmtId="0" fontId="20" fillId="0" borderId="0"/>
    <xf numFmtId="0" fontId="47" fillId="0" borderId="0"/>
    <xf numFmtId="0" fontId="82" fillId="0" borderId="0"/>
    <xf numFmtId="0" fontId="20" fillId="0" borderId="0" applyNumberFormat="0" applyFill="0" applyBorder="0" applyAlignment="0" applyProtection="0"/>
    <xf numFmtId="0" fontId="20" fillId="0" borderId="0" applyNumberFormat="0" applyFill="0" applyBorder="0" applyAlignment="0" applyProtection="0"/>
    <xf numFmtId="0" fontId="4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47" fillId="0" borderId="0"/>
    <xf numFmtId="0" fontId="47" fillId="0" borderId="0"/>
    <xf numFmtId="0" fontId="47" fillId="0" borderId="0"/>
    <xf numFmtId="0" fontId="47" fillId="0" borderId="0"/>
    <xf numFmtId="0" fontId="47" fillId="0" borderId="0"/>
    <xf numFmtId="0" fontId="47" fillId="0" borderId="0"/>
    <xf numFmtId="0" fontId="28" fillId="0" borderId="0"/>
    <xf numFmtId="0" fontId="47" fillId="0" borderId="0"/>
    <xf numFmtId="0" fontId="28" fillId="0" borderId="0"/>
    <xf numFmtId="175" fontId="83" fillId="0" borderId="0" applyBorder="0" applyProtection="0"/>
    <xf numFmtId="0" fontId="19" fillId="0" borderId="0"/>
    <xf numFmtId="0" fontId="30" fillId="0" borderId="0"/>
    <xf numFmtId="0" fontId="20" fillId="33" borderId="0"/>
    <xf numFmtId="0" fontId="28" fillId="0" borderId="0"/>
    <xf numFmtId="0" fontId="50"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28" fillId="0" borderId="0" applyNumberFormat="0" applyBorder="0" applyProtection="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81" fillId="0" borderId="0"/>
    <xf numFmtId="0" fontId="47" fillId="0" borderId="0"/>
    <xf numFmtId="0" fontId="1" fillId="0" borderId="0"/>
    <xf numFmtId="0" fontId="47" fillId="0" borderId="0"/>
    <xf numFmtId="0" fontId="47" fillId="0" borderId="0"/>
    <xf numFmtId="0" fontId="47" fillId="0" borderId="0"/>
    <xf numFmtId="0" fontId="1" fillId="0" borderId="0"/>
    <xf numFmtId="0" fontId="24" fillId="0" borderId="0"/>
    <xf numFmtId="0" fontId="47" fillId="0" borderId="0"/>
    <xf numFmtId="0" fontId="20" fillId="0" borderId="0"/>
    <xf numFmtId="0" fontId="47" fillId="0" borderId="0"/>
    <xf numFmtId="0" fontId="1" fillId="8" borderId="8" applyNumberFormat="0" applyFont="0" applyAlignment="0" applyProtection="0"/>
    <xf numFmtId="0" fontId="20" fillId="43" borderId="35" applyNumberFormat="0" applyFont="0" applyAlignment="0" applyProtection="0"/>
    <xf numFmtId="0" fontId="10" fillId="6" borderId="5" applyNumberFormat="0" applyAlignment="0" applyProtection="0"/>
    <xf numFmtId="0" fontId="84" fillId="55" borderId="36" applyNumberFormat="0" applyAlignment="0" applyProtection="0"/>
    <xf numFmtId="40" fontId="85" fillId="33" borderId="0">
      <alignment horizontal="right"/>
    </xf>
    <xf numFmtId="0" fontId="86" fillId="33" borderId="0">
      <alignment horizontal="right"/>
    </xf>
    <xf numFmtId="0" fontId="87" fillId="33" borderId="14"/>
    <xf numFmtId="0" fontId="87" fillId="0" borderId="0" applyBorder="0">
      <alignment horizontal="centerContinuous"/>
    </xf>
    <xf numFmtId="0" fontId="88" fillId="0" borderId="0" applyBorder="0">
      <alignment horizontal="centerContinuous"/>
    </xf>
    <xf numFmtId="176" fontId="20" fillId="0" borderId="0" applyFont="0" applyFill="0" applyBorder="0" applyProtection="0">
      <alignment horizontal="right"/>
    </xf>
    <xf numFmtId="176" fontId="20" fillId="0" borderId="0" applyFont="0" applyFill="0" applyBorder="0" applyProtection="0">
      <alignment horizontal="right"/>
    </xf>
    <xf numFmtId="10" fontId="20" fillId="0" borderId="0" applyFont="0" applyFill="0" applyBorder="0" applyAlignment="0" applyProtection="0"/>
    <xf numFmtId="9" fontId="47" fillId="0" borderId="0" applyFont="0" applyFill="0" applyBorder="0" applyAlignment="0" applyProtection="0"/>
    <xf numFmtId="9" fontId="1" fillId="0" borderId="0" applyFont="0" applyFill="0" applyBorder="0" applyAlignment="0" applyProtection="0"/>
    <xf numFmtId="9" fontId="47" fillId="0" borderId="0" applyFont="0" applyFill="0" applyBorder="0" applyAlignment="0" applyProtection="0"/>
    <xf numFmtId="9" fontId="20" fillId="0" borderId="0" applyFont="0" applyFill="0" applyBorder="0" applyAlignment="0" applyProtection="0"/>
    <xf numFmtId="9" fontId="47" fillId="0" borderId="0" applyFont="0" applyFill="0" applyBorder="0" applyAlignment="0" applyProtection="0"/>
    <xf numFmtId="9" fontId="81" fillId="0" borderId="0" applyFont="0" applyFill="0" applyBorder="0" applyAlignment="0" applyProtection="0"/>
    <xf numFmtId="9" fontId="24" fillId="0" borderId="0" applyFont="0" applyFill="0" applyBorder="0" applyAlignment="0" applyProtection="0"/>
    <xf numFmtId="9" fontId="20" fillId="0" borderId="0" applyFont="0" applyFill="0" applyBorder="0" applyAlignment="0" applyProtection="0"/>
    <xf numFmtId="9" fontId="47" fillId="0" borderId="0" applyFont="0" applyFill="0" applyBorder="0" applyAlignment="0" applyProtection="0"/>
    <xf numFmtId="9" fontId="47" fillId="0" borderId="0" applyFont="0" applyFill="0" applyBorder="0" applyAlignment="0" applyProtection="0"/>
    <xf numFmtId="9" fontId="1" fillId="0" borderId="0" applyFont="0" applyFill="0" applyBorder="0" applyAlignment="0" applyProtection="0"/>
    <xf numFmtId="9" fontId="47" fillId="0" borderId="0" applyFont="0" applyFill="0" applyBorder="0" applyAlignment="0" applyProtection="0"/>
    <xf numFmtId="9" fontId="1" fillId="0" borderId="0" applyFont="0" applyFill="0" applyBorder="0" applyAlignment="0" applyProtection="0"/>
    <xf numFmtId="9" fontId="47" fillId="0" borderId="0" applyFont="0" applyFill="0" applyBorder="0" applyAlignment="0" applyProtection="0"/>
    <xf numFmtId="9" fontId="47" fillId="0" borderId="0" applyFont="0" applyFill="0" applyBorder="0" applyAlignment="0" applyProtection="0"/>
    <xf numFmtId="9" fontId="47" fillId="0" borderId="0" applyFont="0" applyFill="0" applyBorder="0" applyAlignment="0" applyProtection="0"/>
    <xf numFmtId="0" fontId="20" fillId="0" borderId="0"/>
    <xf numFmtId="2" fontId="89" fillId="35" borderId="18" applyAlignment="0" applyProtection="0">
      <protection locked="0"/>
    </xf>
    <xf numFmtId="0" fontId="90" fillId="59" borderId="18" applyNumberFormat="0" applyAlignment="0" applyProtection="0"/>
    <xf numFmtId="0" fontId="91" fillId="38" borderId="21" applyNumberFormat="0" applyAlignment="0" applyProtection="0">
      <alignment horizontal="center" vertical="center"/>
    </xf>
    <xf numFmtId="0" fontId="20" fillId="0" borderId="0"/>
    <xf numFmtId="4" fontId="24" fillId="60" borderId="36" applyNumberFormat="0" applyProtection="0">
      <alignment vertical="center"/>
    </xf>
    <xf numFmtId="4" fontId="92" fillId="60" borderId="36" applyNumberFormat="0" applyProtection="0">
      <alignment vertical="center"/>
    </xf>
    <xf numFmtId="4" fontId="24" fillId="60" borderId="36" applyNumberFormat="0" applyProtection="0">
      <alignment horizontal="left" vertical="center" indent="1"/>
    </xf>
    <xf numFmtId="4" fontId="24" fillId="60" borderId="36" applyNumberFormat="0" applyProtection="0">
      <alignment horizontal="left" vertical="center" indent="1"/>
    </xf>
    <xf numFmtId="0" fontId="20" fillId="61" borderId="36" applyNumberFormat="0" applyProtection="0">
      <alignment horizontal="left" vertical="center" indent="1"/>
    </xf>
    <xf numFmtId="4" fontId="24" fillId="62" borderId="36" applyNumberFormat="0" applyProtection="0">
      <alignment horizontal="right" vertical="center"/>
    </xf>
    <xf numFmtId="4" fontId="24" fillId="63" borderId="36" applyNumberFormat="0" applyProtection="0">
      <alignment horizontal="right" vertical="center"/>
    </xf>
    <xf numFmtId="4" fontId="24" fillId="64" borderId="36" applyNumberFormat="0" applyProtection="0">
      <alignment horizontal="right" vertical="center"/>
    </xf>
    <xf numFmtId="4" fontId="24" fillId="36" borderId="36" applyNumberFormat="0" applyProtection="0">
      <alignment horizontal="right" vertical="center"/>
    </xf>
    <xf numFmtId="4" fontId="24" fillId="65" borderId="36" applyNumberFormat="0" applyProtection="0">
      <alignment horizontal="right" vertical="center"/>
    </xf>
    <xf numFmtId="4" fontId="24" fillId="66" borderId="36" applyNumberFormat="0" applyProtection="0">
      <alignment horizontal="right" vertical="center"/>
    </xf>
    <xf numFmtId="4" fontId="24" fillId="67" borderId="36" applyNumberFormat="0" applyProtection="0">
      <alignment horizontal="right" vertical="center"/>
    </xf>
    <xf numFmtId="4" fontId="24" fillId="68" borderId="36" applyNumberFormat="0" applyProtection="0">
      <alignment horizontal="right" vertical="center"/>
    </xf>
    <xf numFmtId="4" fontId="24" fillId="37" borderId="36" applyNumberFormat="0" applyProtection="0">
      <alignment horizontal="right" vertical="center"/>
    </xf>
    <xf numFmtId="4" fontId="25" fillId="69" borderId="36" applyNumberFormat="0" applyProtection="0">
      <alignment horizontal="left" vertical="center" indent="1"/>
    </xf>
    <xf numFmtId="4" fontId="24" fillId="70" borderId="37" applyNumberFormat="0" applyProtection="0">
      <alignment horizontal="left" vertical="center" indent="1"/>
    </xf>
    <xf numFmtId="4" fontId="93" fillId="71" borderId="0" applyNumberFormat="0" applyProtection="0">
      <alignment horizontal="left" vertical="center" indent="1"/>
    </xf>
    <xf numFmtId="0" fontId="20" fillId="61" borderId="36" applyNumberFormat="0" applyProtection="0">
      <alignment horizontal="left" vertical="center" indent="1"/>
    </xf>
    <xf numFmtId="4" fontId="24" fillId="70" borderId="36" applyNumberFormat="0" applyProtection="0">
      <alignment horizontal="left" vertical="center" indent="1"/>
    </xf>
    <xf numFmtId="4" fontId="24" fillId="72" borderId="36" applyNumberFormat="0" applyProtection="0">
      <alignment horizontal="left" vertical="center" indent="1"/>
    </xf>
    <xf numFmtId="0" fontId="20" fillId="72" borderId="36" applyNumberFormat="0" applyProtection="0">
      <alignment horizontal="left" vertical="center" indent="1"/>
    </xf>
    <xf numFmtId="0" fontId="20" fillId="72" borderId="36" applyNumberFormat="0" applyProtection="0">
      <alignment horizontal="left" vertical="center" indent="1"/>
    </xf>
    <xf numFmtId="0" fontId="20" fillId="38" borderId="36" applyNumberFormat="0" applyProtection="0">
      <alignment horizontal="left" vertical="center" indent="1"/>
    </xf>
    <xf numFmtId="0" fontId="20" fillId="38" borderId="36" applyNumberFormat="0" applyProtection="0">
      <alignment horizontal="left" vertical="center" indent="1"/>
    </xf>
    <xf numFmtId="0" fontId="20" fillId="34" borderId="36" applyNumberFormat="0" applyProtection="0">
      <alignment horizontal="left" vertical="center" indent="1"/>
    </xf>
    <xf numFmtId="0" fontId="20" fillId="34" borderId="36" applyNumberFormat="0" applyProtection="0">
      <alignment horizontal="left" vertical="center" indent="1"/>
    </xf>
    <xf numFmtId="0" fontId="20" fillId="61" borderId="36" applyNumberFormat="0" applyProtection="0">
      <alignment horizontal="left" vertical="center" indent="1"/>
    </xf>
    <xf numFmtId="0" fontId="20" fillId="61" borderId="36" applyNumberFormat="0" applyProtection="0">
      <alignment horizontal="left" vertical="center" indent="1"/>
    </xf>
    <xf numFmtId="4" fontId="24" fillId="59" borderId="36" applyNumberFormat="0" applyProtection="0">
      <alignment vertical="center"/>
    </xf>
    <xf numFmtId="4" fontId="92" fillId="59" borderId="36" applyNumberFormat="0" applyProtection="0">
      <alignment vertical="center"/>
    </xf>
    <xf numFmtId="4" fontId="24" fillId="59" borderId="36" applyNumberFormat="0" applyProtection="0">
      <alignment horizontal="left" vertical="center" indent="1"/>
    </xf>
    <xf numFmtId="4" fontId="24" fillId="59" borderId="36" applyNumberFormat="0" applyProtection="0">
      <alignment horizontal="left" vertical="center" indent="1"/>
    </xf>
    <xf numFmtId="4" fontId="24" fillId="70" borderId="36" applyNumberFormat="0" applyProtection="0">
      <alignment horizontal="right" vertical="center"/>
    </xf>
    <xf numFmtId="4" fontId="92" fillId="70" borderId="36" applyNumberFormat="0" applyProtection="0">
      <alignment horizontal="right" vertical="center"/>
    </xf>
    <xf numFmtId="0" fontId="20" fillId="61" borderId="36" applyNumberFormat="0" applyProtection="0">
      <alignment horizontal="left" vertical="center" indent="1"/>
    </xf>
    <xf numFmtId="0" fontId="20" fillId="61" borderId="36" applyNumberFormat="0" applyProtection="0">
      <alignment horizontal="left" vertical="center" indent="1"/>
    </xf>
    <xf numFmtId="0" fontId="94" fillId="0" borderId="0"/>
    <xf numFmtId="4" fontId="27" fillId="70" borderId="36" applyNumberFormat="0" applyProtection="0">
      <alignment horizontal="right" vertical="center"/>
    </xf>
    <xf numFmtId="0" fontId="20" fillId="0" borderId="0"/>
    <xf numFmtId="0" fontId="95" fillId="0" borderId="0" applyNumberFormat="0" applyBorder="0" applyProtection="0">
      <alignment horizontal="left"/>
    </xf>
    <xf numFmtId="0" fontId="23" fillId="0" borderId="0">
      <alignment horizontal="left"/>
    </xf>
    <xf numFmtId="3" fontId="96" fillId="33" borderId="0"/>
    <xf numFmtId="0" fontId="97" fillId="0" borderId="0" applyNumberFormat="0" applyBorder="0" applyProtection="0">
      <alignment horizontal="center" vertical="center" wrapText="1"/>
    </xf>
    <xf numFmtId="0" fontId="96" fillId="33" borderId="0"/>
    <xf numFmtId="0" fontId="98" fillId="33" borderId="0"/>
    <xf numFmtId="0" fontId="96" fillId="33" borderId="0">
      <alignment horizontal="center"/>
    </xf>
    <xf numFmtId="0" fontId="99" fillId="39" borderId="0"/>
    <xf numFmtId="177" fontId="100" fillId="0" borderId="16" applyFill="0" applyBorder="0" applyProtection="0">
      <alignment horizontal="right"/>
    </xf>
    <xf numFmtId="177" fontId="100" fillId="0" borderId="16" applyFill="0" applyBorder="0" applyProtection="0">
      <alignment horizontal="right"/>
    </xf>
    <xf numFmtId="0" fontId="101" fillId="0" borderId="0" applyNumberFormat="0" applyFill="0" applyBorder="0" applyProtection="0">
      <alignment horizontal="center" vertical="center" wrapText="1"/>
    </xf>
    <xf numFmtId="0" fontId="102" fillId="0" borderId="0">
      <alignment wrapText="1"/>
    </xf>
    <xf numFmtId="0" fontId="102" fillId="0" borderId="0">
      <alignment wrapText="1"/>
    </xf>
    <xf numFmtId="0" fontId="102" fillId="0" borderId="0">
      <alignment wrapText="1"/>
    </xf>
    <xf numFmtId="0" fontId="102" fillId="0" borderId="0">
      <alignment wrapText="1"/>
    </xf>
    <xf numFmtId="0" fontId="23" fillId="73" borderId="0">
      <alignment horizontal="right" vertical="top" wrapText="1"/>
    </xf>
    <xf numFmtId="0" fontId="23" fillId="73" borderId="0">
      <alignment horizontal="right" vertical="top" wrapText="1"/>
    </xf>
    <xf numFmtId="0" fontId="23" fillId="73" borderId="0">
      <alignment horizontal="right" vertical="top" wrapText="1"/>
    </xf>
    <xf numFmtId="0" fontId="23" fillId="73" borderId="0">
      <alignment horizontal="right" vertical="top" wrapText="1"/>
    </xf>
    <xf numFmtId="0" fontId="103" fillId="0" borderId="0"/>
    <xf numFmtId="0" fontId="103" fillId="0" borderId="0"/>
    <xf numFmtId="0" fontId="103" fillId="0" borderId="0"/>
    <xf numFmtId="0" fontId="103" fillId="0" borderId="0"/>
    <xf numFmtId="0" fontId="104" fillId="0" borderId="0"/>
    <xf numFmtId="0" fontId="104" fillId="0" borderId="0"/>
    <xf numFmtId="0" fontId="104" fillId="0" borderId="0"/>
    <xf numFmtId="1" fontId="105" fillId="0" borderId="0" applyNumberFormat="0" applyFill="0" applyBorder="0" applyProtection="0">
      <alignment horizontal="right" vertical="top"/>
    </xf>
    <xf numFmtId="0" fontId="106" fillId="0" borderId="0"/>
    <xf numFmtId="0" fontId="106" fillId="0" borderId="0"/>
    <xf numFmtId="0" fontId="106" fillId="0" borderId="0"/>
    <xf numFmtId="178" fontId="21" fillId="0" borderId="0">
      <alignment wrapText="1"/>
      <protection locked="0"/>
    </xf>
    <xf numFmtId="178" fontId="21" fillId="0" borderId="0">
      <alignment wrapText="1"/>
      <protection locked="0"/>
    </xf>
    <xf numFmtId="178" fontId="23" fillId="40" borderId="0">
      <alignment wrapText="1"/>
      <protection locked="0"/>
    </xf>
    <xf numFmtId="178" fontId="23" fillId="40" borderId="0">
      <alignment wrapText="1"/>
      <protection locked="0"/>
    </xf>
    <xf numFmtId="178" fontId="23" fillId="40" borderId="0">
      <alignment wrapText="1"/>
      <protection locked="0"/>
    </xf>
    <xf numFmtId="178" fontId="23" fillId="40" borderId="0">
      <alignment wrapText="1"/>
      <protection locked="0"/>
    </xf>
    <xf numFmtId="178" fontId="21" fillId="0" borderId="0">
      <alignment wrapText="1"/>
      <protection locked="0"/>
    </xf>
    <xf numFmtId="179" fontId="100" fillId="0" borderId="0" applyNumberFormat="0" applyFill="0" applyBorder="0" applyProtection="0">
      <alignment horizontal="left"/>
    </xf>
    <xf numFmtId="180" fontId="21" fillId="0" borderId="0">
      <alignment wrapText="1"/>
      <protection locked="0"/>
    </xf>
    <xf numFmtId="180" fontId="21" fillId="0" borderId="0">
      <alignment wrapText="1"/>
      <protection locked="0"/>
    </xf>
    <xf numFmtId="180" fontId="21" fillId="0" borderId="0">
      <alignment wrapText="1"/>
      <protection locked="0"/>
    </xf>
    <xf numFmtId="180" fontId="23" fillId="40" borderId="0">
      <alignment wrapText="1"/>
      <protection locked="0"/>
    </xf>
    <xf numFmtId="180" fontId="23" fillId="40" borderId="0">
      <alignment wrapText="1"/>
      <protection locked="0"/>
    </xf>
    <xf numFmtId="180" fontId="23" fillId="40" borderId="0">
      <alignment wrapText="1"/>
      <protection locked="0"/>
    </xf>
    <xf numFmtId="180" fontId="23" fillId="40" borderId="0">
      <alignment wrapText="1"/>
      <protection locked="0"/>
    </xf>
    <xf numFmtId="180" fontId="23" fillId="40" borderId="0">
      <alignment wrapText="1"/>
      <protection locked="0"/>
    </xf>
    <xf numFmtId="180" fontId="21" fillId="0" borderId="0">
      <alignment wrapText="1"/>
      <protection locked="0"/>
    </xf>
    <xf numFmtId="181" fontId="21" fillId="0" borderId="0">
      <alignment wrapText="1"/>
      <protection locked="0"/>
    </xf>
    <xf numFmtId="181" fontId="21" fillId="0" borderId="0">
      <alignment wrapText="1"/>
      <protection locked="0"/>
    </xf>
    <xf numFmtId="181" fontId="23" fillId="40" borderId="0">
      <alignment wrapText="1"/>
      <protection locked="0"/>
    </xf>
    <xf numFmtId="181" fontId="23" fillId="40" borderId="0">
      <alignment wrapText="1"/>
      <protection locked="0"/>
    </xf>
    <xf numFmtId="181" fontId="23" fillId="40" borderId="0">
      <alignment wrapText="1"/>
      <protection locked="0"/>
    </xf>
    <xf numFmtId="181" fontId="23" fillId="40" borderId="0">
      <alignment wrapText="1"/>
      <protection locked="0"/>
    </xf>
    <xf numFmtId="181" fontId="21" fillId="0" borderId="0">
      <alignment wrapText="1"/>
      <protection locked="0"/>
    </xf>
    <xf numFmtId="0" fontId="105" fillId="0" borderId="0" applyNumberFormat="0" applyFill="0" applyBorder="0" applyProtection="0">
      <alignment horizontal="left" vertical="top"/>
    </xf>
    <xf numFmtId="182" fontId="23" fillId="73" borderId="38">
      <alignment wrapText="1"/>
    </xf>
    <xf numFmtId="182" fontId="23" fillId="73" borderId="38">
      <alignment wrapText="1"/>
    </xf>
    <xf numFmtId="182" fontId="23" fillId="73" borderId="38">
      <alignment wrapText="1"/>
    </xf>
    <xf numFmtId="183" fontId="23" fillId="73" borderId="38">
      <alignment wrapText="1"/>
    </xf>
    <xf numFmtId="183" fontId="23" fillId="73" borderId="38">
      <alignment wrapText="1"/>
    </xf>
    <xf numFmtId="183" fontId="23" fillId="73" borderId="38">
      <alignment wrapText="1"/>
    </xf>
    <xf numFmtId="183" fontId="23" fillId="73" borderId="38">
      <alignment wrapText="1"/>
    </xf>
    <xf numFmtId="184" fontId="23" fillId="73" borderId="38">
      <alignment wrapText="1"/>
    </xf>
    <xf numFmtId="184" fontId="23" fillId="73" borderId="38">
      <alignment wrapText="1"/>
    </xf>
    <xf numFmtId="184" fontId="23" fillId="73" borderId="38">
      <alignment wrapText="1"/>
    </xf>
    <xf numFmtId="0" fontId="103" fillId="0" borderId="39">
      <alignment horizontal="right"/>
    </xf>
    <xf numFmtId="0" fontId="103" fillId="0" borderId="39">
      <alignment horizontal="right"/>
    </xf>
    <xf numFmtId="0" fontId="103" fillId="0" borderId="39">
      <alignment horizontal="right"/>
    </xf>
    <xf numFmtId="0" fontId="103" fillId="0" borderId="39">
      <alignment horizontal="right"/>
    </xf>
    <xf numFmtId="40" fontId="101" fillId="0" borderId="0"/>
    <xf numFmtId="0" fontId="107" fillId="0" borderId="0" applyNumberFormat="0" applyFill="0" applyBorder="0" applyAlignment="0" applyProtection="0"/>
    <xf numFmtId="0" fontId="108" fillId="0" borderId="0" applyNumberFormat="0" applyFill="0" applyBorder="0" applyAlignment="0" applyProtection="0"/>
    <xf numFmtId="0" fontId="52" fillId="0" borderId="0" applyNumberFormat="0" applyFill="0" applyBorder="0" applyProtection="0">
      <alignment horizontal="left" vertical="center" indent="10"/>
    </xf>
    <xf numFmtId="0" fontId="16" fillId="0" borderId="9" applyNumberFormat="0" applyFill="0" applyAlignment="0" applyProtection="0"/>
    <xf numFmtId="0" fontId="109" fillId="0" borderId="40" applyNumberFormat="0" applyFill="0" applyAlignment="0" applyProtection="0"/>
    <xf numFmtId="0" fontId="14" fillId="0" borderId="0" applyNumberFormat="0" applyFill="0" applyBorder="0" applyAlignment="0" applyProtection="0"/>
    <xf numFmtId="0" fontId="78" fillId="0" borderId="0" applyNumberFormat="0" applyFill="0" applyBorder="0" applyAlignment="0" applyProtection="0"/>
    <xf numFmtId="0" fontId="21" fillId="0" borderId="0"/>
    <xf numFmtId="0" fontId="110" fillId="0" borderId="0"/>
    <xf numFmtId="0" fontId="9" fillId="5" borderId="4" applyNumberFormat="0" applyAlignment="0" applyProtection="0"/>
    <xf numFmtId="0" fontId="9" fillId="5" borderId="4" applyNumberFormat="0" applyAlignment="0" applyProtection="0"/>
    <xf numFmtId="0" fontId="9" fillId="5" borderId="4" applyNumberFormat="0" applyAlignment="0" applyProtection="0"/>
    <xf numFmtId="0" fontId="1" fillId="0" borderId="0"/>
    <xf numFmtId="0" fontId="1" fillId="0" borderId="0"/>
    <xf numFmtId="0" fontId="111" fillId="0" borderId="0" applyNumberFormat="0" applyFill="0" applyBorder="0" applyAlignment="0" applyProtection="0"/>
  </cellStyleXfs>
  <cellXfs count="421">
    <xf numFmtId="0" fontId="0" fillId="0" borderId="0" xfId="0"/>
    <xf numFmtId="0" fontId="0" fillId="0" borderId="0" xfId="0"/>
    <xf numFmtId="165" fontId="0" fillId="0" borderId="0" xfId="0" applyNumberFormat="1"/>
    <xf numFmtId="0" fontId="16" fillId="0" borderId="0" xfId="0" applyFont="1"/>
    <xf numFmtId="166" fontId="0" fillId="0" borderId="0" xfId="0" applyNumberFormat="1"/>
    <xf numFmtId="0" fontId="0" fillId="0" borderId="0" xfId="0" applyAlignment="1">
      <alignment horizontal="center"/>
    </xf>
    <xf numFmtId="1" fontId="0" fillId="0" borderId="0" xfId="1" applyNumberFormat="1" applyFont="1"/>
    <xf numFmtId="10" fontId="0" fillId="0" borderId="0" xfId="0" applyNumberFormat="1"/>
    <xf numFmtId="0" fontId="0" fillId="0" borderId="0" xfId="0" applyFont="1"/>
    <xf numFmtId="0" fontId="99" fillId="0" borderId="0" xfId="0" applyFont="1"/>
    <xf numFmtId="0" fontId="112" fillId="0" borderId="0" xfId="0" applyFont="1"/>
    <xf numFmtId="0" fontId="113" fillId="0" borderId="0" xfId="0" applyFont="1"/>
    <xf numFmtId="0" fontId="0" fillId="0" borderId="0" xfId="0" applyBorder="1"/>
    <xf numFmtId="0" fontId="0" fillId="0" borderId="0" xfId="0" applyAlignment="1">
      <alignment horizontal="left"/>
    </xf>
    <xf numFmtId="0" fontId="0" fillId="74" borderId="0" xfId="0" applyFill="1" applyBorder="1"/>
    <xf numFmtId="0" fontId="114" fillId="0" borderId="0" xfId="0" applyFont="1" applyFill="1"/>
    <xf numFmtId="0" fontId="0" fillId="0" borderId="15" xfId="0" applyBorder="1"/>
    <xf numFmtId="0" fontId="0" fillId="0" borderId="16" xfId="0" applyBorder="1"/>
    <xf numFmtId="165" fontId="0" fillId="0" borderId="16" xfId="1" applyNumberFormat="1" applyFont="1" applyBorder="1"/>
    <xf numFmtId="165" fontId="0" fillId="0" borderId="17" xfId="1" applyNumberFormat="1" applyFont="1" applyBorder="1"/>
    <xf numFmtId="0" fontId="0" fillId="0" borderId="13" xfId="0" applyBorder="1"/>
    <xf numFmtId="165" fontId="0" fillId="0" borderId="0" xfId="1" applyNumberFormat="1" applyFont="1" applyBorder="1"/>
    <xf numFmtId="165" fontId="0" fillId="0" borderId="14" xfId="1" applyNumberFormat="1" applyFont="1" applyBorder="1"/>
    <xf numFmtId="0" fontId="0" fillId="0" borderId="10" xfId="0" applyBorder="1"/>
    <xf numFmtId="0" fontId="0" fillId="0" borderId="11" xfId="0" applyBorder="1"/>
    <xf numFmtId="165" fontId="0" fillId="0" borderId="11" xfId="1" applyNumberFormat="1" applyFont="1" applyBorder="1"/>
    <xf numFmtId="165" fontId="0" fillId="0" borderId="12" xfId="1" applyNumberFormat="1" applyFont="1" applyBorder="1"/>
    <xf numFmtId="0" fontId="16" fillId="0" borderId="19" xfId="0" applyFont="1" applyBorder="1"/>
    <xf numFmtId="0" fontId="16" fillId="0" borderId="20" xfId="0" applyFont="1" applyBorder="1"/>
    <xf numFmtId="0" fontId="16" fillId="0" borderId="20" xfId="0" applyFont="1" applyBorder="1" applyAlignment="1">
      <alignment horizontal="right"/>
    </xf>
    <xf numFmtId="0" fontId="16" fillId="0" borderId="22" xfId="0" applyFont="1" applyBorder="1" applyAlignment="1">
      <alignment horizontal="right"/>
    </xf>
    <xf numFmtId="0" fontId="0" fillId="0" borderId="13" xfId="0" applyFill="1" applyBorder="1"/>
    <xf numFmtId="0" fontId="0" fillId="0" borderId="15" xfId="0" applyFill="1" applyBorder="1"/>
    <xf numFmtId="0" fontId="0" fillId="0" borderId="10" xfId="0" applyFill="1" applyBorder="1"/>
    <xf numFmtId="0" fontId="16" fillId="0" borderId="15" xfId="0" applyFont="1" applyBorder="1"/>
    <xf numFmtId="0" fontId="16" fillId="0" borderId="16" xfId="0" applyFont="1" applyBorder="1"/>
    <xf numFmtId="0" fontId="0" fillId="0" borderId="0" xfId="0" applyFill="1" applyBorder="1"/>
    <xf numFmtId="0" fontId="0" fillId="0" borderId="0" xfId="0" applyAlignment="1">
      <alignment horizontal="center" vertical="center" wrapText="1"/>
    </xf>
    <xf numFmtId="3" fontId="0" fillId="0" borderId="14" xfId="0" applyNumberFormat="1" applyBorder="1"/>
    <xf numFmtId="3" fontId="0" fillId="0" borderId="12" xfId="0" applyNumberFormat="1" applyBorder="1"/>
    <xf numFmtId="0" fontId="16" fillId="0" borderId="19" xfId="0" applyFont="1" applyBorder="1" applyAlignment="1">
      <alignment horizontal="center" vertical="center" wrapText="1"/>
    </xf>
    <xf numFmtId="0" fontId="16" fillId="0" borderId="22" xfId="0" applyFont="1" applyBorder="1" applyAlignment="1">
      <alignment horizontal="center" vertical="center" wrapText="1"/>
    </xf>
    <xf numFmtId="0" fontId="115" fillId="0" borderId="13" xfId="0" applyFont="1" applyBorder="1"/>
    <xf numFmtId="0" fontId="115" fillId="0" borderId="14" xfId="0" applyFont="1" applyBorder="1"/>
    <xf numFmtId="3" fontId="115" fillId="0" borderId="13" xfId="0" applyNumberFormat="1" applyFont="1" applyBorder="1"/>
    <xf numFmtId="3" fontId="115" fillId="0" borderId="14" xfId="0" applyNumberFormat="1" applyFont="1" applyBorder="1"/>
    <xf numFmtId="3" fontId="115" fillId="0" borderId="10" xfId="0" applyNumberFormat="1" applyFont="1" applyBorder="1"/>
    <xf numFmtId="3" fontId="115" fillId="0" borderId="12" xfId="0" applyNumberFormat="1" applyFont="1" applyBorder="1"/>
    <xf numFmtId="0" fontId="115" fillId="0" borderId="19" xfId="0" applyFont="1" applyBorder="1" applyAlignment="1">
      <alignment horizontal="center" vertical="center" wrapText="1"/>
    </xf>
    <xf numFmtId="0" fontId="115" fillId="0" borderId="22" xfId="0" applyFont="1" applyBorder="1" applyAlignment="1">
      <alignment horizontal="center" vertical="center" wrapText="1"/>
    </xf>
    <xf numFmtId="0" fontId="16" fillId="0" borderId="0" xfId="0" applyFont="1" applyAlignment="1">
      <alignment horizontal="center" vertical="center"/>
    </xf>
    <xf numFmtId="3" fontId="0" fillId="0" borderId="0" xfId="0" applyNumberFormat="1" applyBorder="1"/>
    <xf numFmtId="3" fontId="115" fillId="0" borderId="0" xfId="0" applyNumberFormat="1" applyFont="1" applyBorder="1"/>
    <xf numFmtId="0" fontId="0" fillId="0" borderId="19" xfId="0" applyFill="1" applyBorder="1"/>
    <xf numFmtId="3" fontId="0" fillId="0" borderId="22" xfId="0" applyNumberFormat="1" applyBorder="1"/>
    <xf numFmtId="0" fontId="16" fillId="0" borderId="17" xfId="0" applyFont="1" applyBorder="1"/>
    <xf numFmtId="6" fontId="0" fillId="0" borderId="0" xfId="0" applyNumberFormat="1" applyBorder="1"/>
    <xf numFmtId="166" fontId="0" fillId="0" borderId="0" xfId="0" applyNumberFormat="1" applyBorder="1"/>
    <xf numFmtId="166" fontId="0" fillId="0" borderId="14" xfId="0" applyNumberFormat="1" applyBorder="1"/>
    <xf numFmtId="6" fontId="0" fillId="0" borderId="11" xfId="0" applyNumberFormat="1" applyBorder="1"/>
    <xf numFmtId="166" fontId="0" fillId="0" borderId="11" xfId="0" applyNumberFormat="1" applyBorder="1"/>
    <xf numFmtId="166" fontId="0" fillId="0" borderId="12" xfId="0" applyNumberFormat="1" applyBorder="1"/>
    <xf numFmtId="0" fontId="0" fillId="0" borderId="13" xfId="0" applyBorder="1" applyAlignment="1">
      <alignment horizontal="center"/>
    </xf>
    <xf numFmtId="0" fontId="0" fillId="0" borderId="10" xfId="0" applyBorder="1" applyAlignment="1">
      <alignment horizontal="center"/>
    </xf>
    <xf numFmtId="0" fontId="16" fillId="0" borderId="17" xfId="0" applyFont="1" applyBorder="1" applyAlignment="1">
      <alignment horizontal="center"/>
    </xf>
    <xf numFmtId="0" fontId="16" fillId="0" borderId="0" xfId="0" applyFont="1" applyFill="1" applyBorder="1" applyAlignment="1">
      <alignment horizontal="center" vertical="center"/>
    </xf>
    <xf numFmtId="0" fontId="16" fillId="0" borderId="0" xfId="0" applyFont="1" applyBorder="1" applyAlignment="1">
      <alignment horizontal="center"/>
    </xf>
    <xf numFmtId="0" fontId="116" fillId="0" borderId="0" xfId="0" applyFont="1"/>
    <xf numFmtId="0" fontId="117" fillId="0" borderId="0" xfId="0" applyFont="1"/>
    <xf numFmtId="0" fontId="115" fillId="0" borderId="0" xfId="0" applyFont="1"/>
    <xf numFmtId="0" fontId="119" fillId="0" borderId="0" xfId="0" applyFont="1"/>
    <xf numFmtId="0" fontId="118" fillId="0" borderId="0" xfId="0" applyFont="1" applyFill="1" applyBorder="1" applyAlignment="1">
      <alignment horizontal="left" vertical="center" wrapText="1"/>
    </xf>
    <xf numFmtId="0" fontId="31" fillId="0" borderId="0" xfId="0" applyFont="1"/>
    <xf numFmtId="0" fontId="19" fillId="0" borderId="0" xfId="0" applyFont="1"/>
    <xf numFmtId="0" fontId="19" fillId="0" borderId="0" xfId="0" applyFont="1" applyBorder="1" applyAlignment="1">
      <alignment horizontal="center"/>
    </xf>
    <xf numFmtId="0" fontId="19" fillId="0" borderId="0" xfId="0" quotePrefix="1" applyFont="1"/>
    <xf numFmtId="0" fontId="19" fillId="0" borderId="0" xfId="0" applyFont="1" applyFill="1" applyBorder="1" applyAlignment="1">
      <alignment vertical="center"/>
    </xf>
    <xf numFmtId="0" fontId="19" fillId="0" borderId="0" xfId="0" applyFont="1" applyFill="1" applyBorder="1" applyAlignment="1">
      <alignment horizontal="left" vertical="center"/>
    </xf>
    <xf numFmtId="0" fontId="120" fillId="0" borderId="0" xfId="0" applyFont="1" applyFill="1" applyBorder="1" applyAlignment="1">
      <alignment horizontal="center" vertical="center"/>
    </xf>
    <xf numFmtId="0" fontId="31" fillId="0" borderId="0" xfId="0" applyFont="1" applyFill="1" applyBorder="1" applyAlignment="1">
      <alignment vertical="center"/>
    </xf>
    <xf numFmtId="0" fontId="19" fillId="0" borderId="0" xfId="0" applyFont="1" applyFill="1" applyBorder="1" applyAlignment="1">
      <alignment horizontal="center" vertical="center"/>
    </xf>
    <xf numFmtId="0" fontId="122" fillId="0" borderId="0" xfId="0" applyFont="1" applyBorder="1" applyAlignment="1">
      <alignment horizontal="left" vertical="center"/>
    </xf>
    <xf numFmtId="0" fontId="19" fillId="0" borderId="0" xfId="0" applyFont="1" applyBorder="1" applyAlignment="1">
      <alignment horizontal="center" vertical="center"/>
    </xf>
    <xf numFmtId="0" fontId="31" fillId="0" borderId="0" xfId="0" applyFont="1" applyBorder="1"/>
    <xf numFmtId="0" fontId="19" fillId="0" borderId="0" xfId="0" applyFont="1" applyBorder="1"/>
    <xf numFmtId="0" fontId="19" fillId="0" borderId="0" xfId="0" applyFont="1" applyFill="1"/>
    <xf numFmtId="9" fontId="19" fillId="0" borderId="0" xfId="0" applyNumberFormat="1" applyFont="1" applyFill="1"/>
    <xf numFmtId="9" fontId="31" fillId="0" borderId="0" xfId="0" applyNumberFormat="1" applyFont="1" applyFill="1" applyAlignment="1">
      <alignment horizontal="center"/>
    </xf>
    <xf numFmtId="10" fontId="19" fillId="0" borderId="0" xfId="0" applyNumberFormat="1" applyFont="1"/>
    <xf numFmtId="1" fontId="19" fillId="0" borderId="0" xfId="0" applyNumberFormat="1" applyFont="1"/>
    <xf numFmtId="10" fontId="19" fillId="0" borderId="0" xfId="0" applyNumberFormat="1" applyFont="1" applyAlignment="1">
      <alignment wrapText="1"/>
    </xf>
    <xf numFmtId="2" fontId="19" fillId="0" borderId="0" xfId="0" applyNumberFormat="1" applyFont="1"/>
    <xf numFmtId="10" fontId="19" fillId="0" borderId="0" xfId="0" applyNumberFormat="1" applyFont="1" applyAlignment="1"/>
    <xf numFmtId="0" fontId="31" fillId="77" borderId="19" xfId="0" applyFont="1" applyFill="1" applyBorder="1" applyAlignment="1">
      <alignment horizontal="center" vertical="center"/>
    </xf>
    <xf numFmtId="0" fontId="31" fillId="77" borderId="19" xfId="0" applyFont="1" applyFill="1" applyBorder="1" applyAlignment="1">
      <alignment vertical="center"/>
    </xf>
    <xf numFmtId="0" fontId="19" fillId="77" borderId="13" xfId="0" applyFont="1" applyFill="1" applyBorder="1" applyAlignment="1">
      <alignment horizontal="left" vertical="center"/>
    </xf>
    <xf numFmtId="0" fontId="31" fillId="77" borderId="20" xfId="0" applyFont="1" applyFill="1" applyBorder="1" applyAlignment="1">
      <alignment vertical="center"/>
    </xf>
    <xf numFmtId="0" fontId="121" fillId="77" borderId="20" xfId="0" applyFont="1" applyFill="1" applyBorder="1" applyAlignment="1">
      <alignment vertical="center"/>
    </xf>
    <xf numFmtId="0" fontId="19" fillId="77" borderId="22" xfId="0" applyFont="1" applyFill="1" applyBorder="1"/>
    <xf numFmtId="0" fontId="31" fillId="77" borderId="20" xfId="0" applyFont="1" applyFill="1" applyBorder="1" applyAlignment="1">
      <alignment horizontal="center" vertical="center"/>
    </xf>
    <xf numFmtId="0" fontId="31" fillId="77" borderId="20" xfId="0" applyFont="1" applyFill="1" applyBorder="1" applyAlignment="1">
      <alignment horizontal="center" vertical="center" wrapText="1"/>
    </xf>
    <xf numFmtId="0" fontId="123" fillId="0" borderId="0" xfId="0" applyFont="1" applyAlignment="1">
      <alignment horizontal="left" vertical="top"/>
    </xf>
    <xf numFmtId="0" fontId="19" fillId="76" borderId="19" xfId="0" applyFont="1" applyFill="1" applyBorder="1" applyAlignment="1">
      <alignment vertical="center"/>
    </xf>
    <xf numFmtId="0" fontId="19" fillId="76" borderId="20" xfId="0" applyFont="1" applyFill="1" applyBorder="1" applyAlignment="1">
      <alignment vertical="center"/>
    </xf>
    <xf numFmtId="0" fontId="19" fillId="0" borderId="0" xfId="0" applyFont="1" applyAlignment="1">
      <alignment horizontal="center"/>
    </xf>
    <xf numFmtId="0" fontId="31" fillId="77" borderId="19" xfId="0" applyFont="1" applyFill="1" applyBorder="1" applyAlignment="1">
      <alignment horizontal="left" vertical="center"/>
    </xf>
    <xf numFmtId="0" fontId="31" fillId="77" borderId="20" xfId="0" applyFont="1" applyFill="1" applyBorder="1" applyAlignment="1">
      <alignment horizontal="left" vertical="center"/>
    </xf>
    <xf numFmtId="0" fontId="118" fillId="0" borderId="0" xfId="0" applyFont="1" applyFill="1" applyBorder="1" applyAlignment="1">
      <alignment vertical="center" wrapText="1"/>
    </xf>
    <xf numFmtId="0" fontId="124" fillId="0" borderId="0" xfId="0" applyFont="1" applyFill="1" applyBorder="1" applyAlignment="1">
      <alignment horizontal="left" vertical="center" wrapText="1"/>
    </xf>
    <xf numFmtId="0" fontId="31" fillId="39" borderId="0" xfId="0" applyFont="1" applyFill="1"/>
    <xf numFmtId="0" fontId="19" fillId="39" borderId="0" xfId="0" applyFont="1" applyFill="1"/>
    <xf numFmtId="165" fontId="19" fillId="39" borderId="0" xfId="1" applyNumberFormat="1" applyFont="1" applyFill="1"/>
    <xf numFmtId="10" fontId="19" fillId="39" borderId="0" xfId="0" applyNumberFormat="1" applyFont="1" applyFill="1"/>
    <xf numFmtId="0" fontId="31" fillId="79" borderId="0" xfId="0" applyFont="1" applyFill="1"/>
    <xf numFmtId="0" fontId="19" fillId="79" borderId="0" xfId="0" applyFont="1" applyFill="1"/>
    <xf numFmtId="0" fontId="19" fillId="79" borderId="0" xfId="0" applyFont="1" applyFill="1" applyBorder="1" applyAlignment="1">
      <alignment horizontal="center" vertical="center"/>
    </xf>
    <xf numFmtId="165" fontId="19" fillId="79" borderId="0" xfId="1" applyNumberFormat="1" applyFont="1" applyFill="1"/>
    <xf numFmtId="10" fontId="19" fillId="79" borderId="0" xfId="0" applyNumberFormat="1" applyFont="1" applyFill="1"/>
    <xf numFmtId="0" fontId="19" fillId="77" borderId="0" xfId="0" applyFont="1" applyFill="1" applyBorder="1" applyAlignment="1">
      <alignment horizontal="left" vertical="center"/>
    </xf>
    <xf numFmtId="0" fontId="19" fillId="77" borderId="0" xfId="0" applyFont="1" applyFill="1" applyBorder="1" applyAlignment="1">
      <alignment horizontal="center" vertical="center"/>
    </xf>
    <xf numFmtId="0" fontId="19" fillId="77" borderId="20" xfId="0" applyFont="1" applyFill="1" applyBorder="1" applyAlignment="1">
      <alignment horizontal="left" vertical="center"/>
    </xf>
    <xf numFmtId="0" fontId="19" fillId="77" borderId="20" xfId="0" applyFont="1" applyFill="1" applyBorder="1" applyAlignment="1">
      <alignment horizontal="center" vertical="center"/>
    </xf>
    <xf numFmtId="0" fontId="19" fillId="77" borderId="11" xfId="0" applyFont="1" applyFill="1" applyBorder="1" applyAlignment="1">
      <alignment horizontal="center" vertical="center"/>
    </xf>
    <xf numFmtId="0" fontId="125" fillId="0" borderId="0" xfId="0" applyFont="1"/>
    <xf numFmtId="0" fontId="31" fillId="80" borderId="19" xfId="0" applyFont="1" applyFill="1" applyBorder="1" applyAlignment="1">
      <alignment vertical="center"/>
    </xf>
    <xf numFmtId="0" fontId="31" fillId="80" borderId="20" xfId="0" applyFont="1" applyFill="1" applyBorder="1" applyAlignment="1">
      <alignment vertical="center"/>
    </xf>
    <xf numFmtId="0" fontId="19" fillId="80" borderId="20" xfId="0" applyFont="1" applyFill="1" applyBorder="1"/>
    <xf numFmtId="0" fontId="19" fillId="80" borderId="13" xfId="0" applyFont="1" applyFill="1" applyBorder="1" applyAlignment="1">
      <alignment horizontal="left" vertical="center"/>
    </xf>
    <xf numFmtId="0" fontId="19" fillId="80" borderId="0" xfId="0" applyFont="1" applyFill="1" applyBorder="1" applyAlignment="1">
      <alignment horizontal="left" vertical="center" wrapText="1"/>
    </xf>
    <xf numFmtId="0" fontId="19" fillId="80" borderId="0" xfId="0" applyFont="1" applyFill="1" applyBorder="1" applyAlignment="1">
      <alignment horizontal="center" vertical="center"/>
    </xf>
    <xf numFmtId="0" fontId="19" fillId="80" borderId="20" xfId="0" applyFont="1" applyFill="1" applyBorder="1" applyAlignment="1">
      <alignment horizontal="center" vertical="center"/>
    </xf>
    <xf numFmtId="0" fontId="121" fillId="80" borderId="20" xfId="0" applyFont="1" applyFill="1" applyBorder="1" applyAlignment="1">
      <alignment vertical="center"/>
    </xf>
    <xf numFmtId="0" fontId="19" fillId="80" borderId="22" xfId="0" applyFont="1" applyFill="1" applyBorder="1"/>
    <xf numFmtId="0" fontId="19" fillId="80" borderId="13" xfId="0" applyFont="1" applyFill="1" applyBorder="1" applyAlignment="1">
      <alignment vertical="center"/>
    </xf>
    <xf numFmtId="0" fontId="19" fillId="80" borderId="0" xfId="0" applyFont="1" applyFill="1" applyBorder="1" applyAlignment="1">
      <alignment horizontal="left" vertical="center"/>
    </xf>
    <xf numFmtId="0" fontId="19" fillId="80" borderId="13" xfId="0" applyFont="1" applyFill="1" applyBorder="1" applyAlignment="1">
      <alignment vertical="center" wrapText="1"/>
    </xf>
    <xf numFmtId="0" fontId="19" fillId="80" borderId="10" xfId="0" applyFont="1" applyFill="1" applyBorder="1" applyAlignment="1">
      <alignment vertical="center"/>
    </xf>
    <xf numFmtId="0" fontId="19" fillId="80" borderId="11" xfId="0" applyFont="1" applyFill="1" applyBorder="1" applyAlignment="1">
      <alignment horizontal="center" vertical="center"/>
    </xf>
    <xf numFmtId="0" fontId="118" fillId="0" borderId="0" xfId="0" applyFont="1" applyFill="1" applyBorder="1" applyAlignment="1">
      <alignment horizontal="left" vertical="center" wrapText="1"/>
    </xf>
    <xf numFmtId="0" fontId="31" fillId="77" borderId="20" xfId="0" applyFont="1" applyFill="1" applyBorder="1" applyAlignment="1">
      <alignment horizontal="left" vertical="center"/>
    </xf>
    <xf numFmtId="165" fontId="19" fillId="0" borderId="0" xfId="0" applyNumberFormat="1" applyFont="1"/>
    <xf numFmtId="0" fontId="118" fillId="0" borderId="0" xfId="0" applyFont="1" applyFill="1" applyBorder="1" applyAlignment="1">
      <alignment horizontal="left" vertical="center" wrapText="1"/>
    </xf>
    <xf numFmtId="0" fontId="31" fillId="77" borderId="20" xfId="0" applyFont="1" applyFill="1" applyBorder="1" applyAlignment="1">
      <alignment horizontal="left" vertical="center"/>
    </xf>
    <xf numFmtId="0" fontId="14" fillId="0" borderId="0" xfId="0" applyFont="1"/>
    <xf numFmtId="0" fontId="19" fillId="39" borderId="0" xfId="0" applyFont="1" applyFill="1" applyBorder="1"/>
    <xf numFmtId="0" fontId="31" fillId="39" borderId="0" xfId="0" applyFont="1" applyFill="1" applyBorder="1" applyAlignment="1">
      <alignment horizontal="center"/>
    </xf>
    <xf numFmtId="165" fontId="19" fillId="39" borderId="0" xfId="1" applyNumberFormat="1" applyFont="1" applyFill="1" applyBorder="1"/>
    <xf numFmtId="0" fontId="31" fillId="39" borderId="0" xfId="0" applyFont="1" applyFill="1" applyAlignment="1">
      <alignment horizontal="center"/>
    </xf>
    <xf numFmtId="9" fontId="19" fillId="39" borderId="0" xfId="0" applyNumberFormat="1" applyFont="1" applyFill="1"/>
    <xf numFmtId="0" fontId="31" fillId="39" borderId="0" xfId="0" applyFont="1" applyFill="1" applyAlignment="1"/>
    <xf numFmtId="0" fontId="19" fillId="39" borderId="0" xfId="0" applyFont="1" applyFill="1" applyBorder="1" applyAlignment="1"/>
    <xf numFmtId="165" fontId="19" fillId="39" borderId="0" xfId="1" applyNumberFormat="1" applyFont="1" applyFill="1" applyBorder="1" applyAlignment="1"/>
    <xf numFmtId="0" fontId="124" fillId="0" borderId="0" xfId="0" applyFont="1" applyFill="1" applyBorder="1" applyAlignment="1">
      <alignment vertical="center"/>
    </xf>
    <xf numFmtId="0" fontId="126" fillId="0" borderId="0" xfId="0" applyFont="1" applyAlignment="1">
      <alignment horizontal="center" vertical="center"/>
    </xf>
    <xf numFmtId="0" fontId="19" fillId="0" borderId="0" xfId="0" applyFont="1" applyFill="1" applyBorder="1" applyAlignment="1">
      <alignment vertical="center" wrapText="1"/>
    </xf>
    <xf numFmtId="0" fontId="19" fillId="77" borderId="13" xfId="0" applyFont="1" applyFill="1" applyBorder="1" applyAlignment="1">
      <alignment wrapText="1"/>
    </xf>
    <xf numFmtId="0" fontId="19" fillId="80" borderId="15" xfId="0" applyFont="1" applyFill="1" applyBorder="1"/>
    <xf numFmtId="0" fontId="31" fillId="80" borderId="16" xfId="0" applyFont="1" applyFill="1" applyBorder="1" applyAlignment="1">
      <alignment horizontal="center" vertical="center"/>
    </xf>
    <xf numFmtId="0" fontId="31" fillId="80" borderId="17" xfId="0" applyFont="1" applyFill="1" applyBorder="1" applyAlignment="1">
      <alignment horizontal="center" vertical="center"/>
    </xf>
    <xf numFmtId="0" fontId="19" fillId="80" borderId="13" xfId="0" applyFont="1" applyFill="1" applyBorder="1" applyAlignment="1">
      <alignment wrapText="1"/>
    </xf>
    <xf numFmtId="0" fontId="19" fillId="77" borderId="10" xfId="0" applyFont="1" applyFill="1" applyBorder="1" applyAlignment="1">
      <alignment wrapText="1"/>
    </xf>
    <xf numFmtId="9" fontId="19" fillId="80" borderId="0" xfId="0" applyNumberFormat="1" applyFont="1" applyFill="1" applyBorder="1" applyAlignment="1">
      <alignment horizontal="right" vertical="center"/>
    </xf>
    <xf numFmtId="9" fontId="19" fillId="80" borderId="14" xfId="0" applyNumberFormat="1" applyFont="1" applyFill="1" applyBorder="1" applyAlignment="1">
      <alignment horizontal="right" vertical="center"/>
    </xf>
    <xf numFmtId="166" fontId="19" fillId="80" borderId="0" xfId="0" applyNumberFormat="1" applyFont="1" applyFill="1" applyBorder="1" applyAlignment="1">
      <alignment horizontal="right" vertical="center"/>
    </xf>
    <xf numFmtId="166" fontId="19" fillId="80" borderId="14" xfId="0" applyNumberFormat="1" applyFont="1" applyFill="1" applyBorder="1" applyAlignment="1">
      <alignment horizontal="right" vertical="center"/>
    </xf>
    <xf numFmtId="0" fontId="19" fillId="77" borderId="0" xfId="0" applyFont="1" applyFill="1" applyBorder="1" applyAlignment="1">
      <alignment horizontal="right" vertical="center"/>
    </xf>
    <xf numFmtId="0" fontId="19" fillId="77" borderId="14" xfId="0" applyFont="1" applyFill="1" applyBorder="1" applyAlignment="1">
      <alignment horizontal="right" vertical="center"/>
    </xf>
    <xf numFmtId="9" fontId="19" fillId="77" borderId="0" xfId="0" applyNumberFormat="1" applyFont="1" applyFill="1" applyBorder="1" applyAlignment="1">
      <alignment horizontal="right" vertical="center"/>
    </xf>
    <xf numFmtId="9" fontId="19" fillId="77" borderId="14" xfId="0" applyNumberFormat="1" applyFont="1" applyFill="1" applyBorder="1" applyAlignment="1">
      <alignment horizontal="right" vertical="center"/>
    </xf>
    <xf numFmtId="9" fontId="19" fillId="77" borderId="11" xfId="0" applyNumberFormat="1" applyFont="1" applyFill="1" applyBorder="1" applyAlignment="1">
      <alignment horizontal="right" vertical="center"/>
    </xf>
    <xf numFmtId="9" fontId="19" fillId="77" borderId="12" xfId="0" applyNumberFormat="1" applyFont="1" applyFill="1" applyBorder="1" applyAlignment="1">
      <alignment horizontal="right" vertical="center"/>
    </xf>
    <xf numFmtId="0" fontId="16" fillId="75" borderId="19" xfId="0" applyFont="1" applyFill="1" applyBorder="1"/>
    <xf numFmtId="0" fontId="127" fillId="75" borderId="19" xfId="0" applyFont="1" applyFill="1" applyBorder="1" applyAlignment="1">
      <alignment horizontal="center" vertical="center"/>
    </xf>
    <xf numFmtId="0" fontId="127" fillId="75" borderId="22" xfId="0" applyFont="1" applyFill="1" applyBorder="1" applyAlignment="1">
      <alignment horizontal="center" vertical="center"/>
    </xf>
    <xf numFmtId="0" fontId="116" fillId="75" borderId="13" xfId="0" applyFont="1" applyFill="1" applyBorder="1"/>
    <xf numFmtId="0" fontId="116" fillId="75" borderId="10" xfId="0" applyFont="1" applyFill="1" applyBorder="1"/>
    <xf numFmtId="0" fontId="123" fillId="0" borderId="0" xfId="0" applyFont="1"/>
    <xf numFmtId="0" fontId="0" fillId="78" borderId="0" xfId="0" applyFill="1"/>
    <xf numFmtId="0" fontId="0" fillId="78" borderId="15" xfId="0" applyFill="1" applyBorder="1"/>
    <xf numFmtId="0" fontId="0" fillId="78" borderId="16" xfId="0" applyFill="1" applyBorder="1"/>
    <xf numFmtId="0" fontId="0" fillId="78" borderId="13" xfId="0" applyFill="1" applyBorder="1"/>
    <xf numFmtId="0" fontId="0" fillId="78" borderId="0" xfId="0" applyFill="1" applyBorder="1"/>
    <xf numFmtId="0" fontId="0" fillId="78" borderId="10" xfId="0" applyFill="1" applyBorder="1"/>
    <xf numFmtId="0" fontId="0" fillId="78" borderId="11" xfId="0" applyFill="1" applyBorder="1"/>
    <xf numFmtId="0" fontId="19" fillId="0" borderId="0" xfId="0" applyFont="1" applyFill="1" applyBorder="1" applyAlignment="1">
      <alignment horizontal="center" vertical="center" wrapText="1"/>
    </xf>
    <xf numFmtId="0" fontId="0" fillId="0" borderId="17" xfId="0" applyBorder="1"/>
    <xf numFmtId="0" fontId="0" fillId="0" borderId="14" xfId="0" applyBorder="1"/>
    <xf numFmtId="0" fontId="16" fillId="0" borderId="13" xfId="0" applyFont="1" applyBorder="1"/>
    <xf numFmtId="0" fontId="0" fillId="0" borderId="0" xfId="0" applyAlignment="1">
      <alignment horizontal="left" vertical="center"/>
    </xf>
    <xf numFmtId="0" fontId="0" fillId="79" borderId="13" xfId="0" applyFill="1" applyBorder="1" applyAlignment="1">
      <alignment horizontal="left" vertical="center"/>
    </xf>
    <xf numFmtId="0" fontId="0" fillId="79" borderId="0" xfId="0" applyFill="1" applyBorder="1" applyAlignment="1">
      <alignment horizontal="left" vertical="center" wrapText="1"/>
    </xf>
    <xf numFmtId="0" fontId="0" fillId="79" borderId="14" xfId="0" applyFont="1" applyFill="1" applyBorder="1" applyAlignment="1">
      <alignment horizontal="left" vertical="center" wrapText="1"/>
    </xf>
    <xf numFmtId="0" fontId="0" fillId="79" borderId="0" xfId="0" applyFont="1" applyFill="1" applyBorder="1" applyAlignment="1">
      <alignment horizontal="left" vertical="center" wrapText="1"/>
    </xf>
    <xf numFmtId="0" fontId="0" fillId="79" borderId="10" xfId="0" applyFill="1" applyBorder="1" applyAlignment="1">
      <alignment horizontal="left" vertical="center"/>
    </xf>
    <xf numFmtId="0" fontId="0" fillId="79" borderId="11" xfId="0" applyFont="1" applyFill="1" applyBorder="1" applyAlignment="1">
      <alignment horizontal="left" vertical="center" wrapText="1"/>
    </xf>
    <xf numFmtId="0" fontId="112" fillId="77" borderId="19" xfId="0" applyFont="1" applyFill="1" applyBorder="1"/>
    <xf numFmtId="0" fontId="112" fillId="77" borderId="20" xfId="0" applyFont="1" applyFill="1" applyBorder="1"/>
    <xf numFmtId="0" fontId="112" fillId="0" borderId="15" xfId="0" applyFont="1" applyBorder="1"/>
    <xf numFmtId="165" fontId="0" fillId="0" borderId="16" xfId="0" applyNumberFormat="1" applyBorder="1"/>
    <xf numFmtId="165" fontId="0" fillId="0" borderId="17" xfId="0" applyNumberFormat="1" applyBorder="1"/>
    <xf numFmtId="9" fontId="0" fillId="0" borderId="0" xfId="0" applyNumberFormat="1" applyBorder="1"/>
    <xf numFmtId="9" fontId="0" fillId="0" borderId="14" xfId="0" applyNumberFormat="1" applyBorder="1"/>
    <xf numFmtId="1" fontId="0" fillId="0" borderId="0" xfId="1" applyNumberFormat="1" applyFont="1" applyBorder="1"/>
    <xf numFmtId="1" fontId="0" fillId="0" borderId="14" xfId="1" applyNumberFormat="1" applyFont="1" applyBorder="1"/>
    <xf numFmtId="165" fontId="0" fillId="0" borderId="0" xfId="0" applyNumberFormat="1" applyBorder="1"/>
    <xf numFmtId="165" fontId="0" fillId="0" borderId="14" xfId="0" applyNumberFormat="1" applyBorder="1"/>
    <xf numFmtId="0" fontId="0" fillId="0" borderId="13" xfId="0" applyFont="1" applyBorder="1"/>
    <xf numFmtId="0" fontId="19" fillId="0" borderId="16" xfId="0" applyFont="1" applyFill="1" applyBorder="1" applyAlignment="1">
      <alignment horizontal="center" vertical="center" wrapText="1"/>
    </xf>
    <xf numFmtId="0" fontId="19" fillId="0" borderId="17" xfId="0" applyFont="1" applyFill="1" applyBorder="1" applyAlignment="1">
      <alignment horizontal="center" vertical="center" wrapText="1"/>
    </xf>
    <xf numFmtId="0" fontId="0" fillId="0" borderId="0" xfId="0" applyBorder="1" applyAlignment="1">
      <alignment horizontal="center"/>
    </xf>
    <xf numFmtId="0" fontId="0" fillId="0" borderId="14" xfId="0" applyBorder="1" applyAlignment="1">
      <alignment horizontal="center"/>
    </xf>
    <xf numFmtId="165" fontId="0" fillId="0" borderId="11" xfId="0" applyNumberFormat="1" applyBorder="1"/>
    <xf numFmtId="165" fontId="0" fillId="0" borderId="12" xfId="0" applyNumberFormat="1" applyBorder="1"/>
    <xf numFmtId="165" fontId="115" fillId="0" borderId="16" xfId="0" applyNumberFormat="1" applyFont="1" applyBorder="1"/>
    <xf numFmtId="0" fontId="131" fillId="0" borderId="0" xfId="0" applyFont="1"/>
    <xf numFmtId="0" fontId="0" fillId="0" borderId="0" xfId="0" applyFont="1" applyFill="1" applyBorder="1" applyAlignment="1">
      <alignment horizontal="left" vertical="center" wrapText="1"/>
    </xf>
    <xf numFmtId="0" fontId="0" fillId="0" borderId="0" xfId="0" applyFont="1" applyAlignment="1">
      <alignment vertical="center"/>
    </xf>
    <xf numFmtId="0" fontId="16" fillId="0" borderId="15" xfId="0" applyFont="1" applyBorder="1" applyAlignment="1">
      <alignment vertical="center"/>
    </xf>
    <xf numFmtId="0" fontId="16" fillId="0" borderId="16" xfId="0" applyFont="1" applyBorder="1" applyAlignment="1">
      <alignment vertical="center"/>
    </xf>
    <xf numFmtId="0" fontId="0" fillId="0" borderId="16" xfId="0" applyFont="1" applyBorder="1" applyAlignment="1">
      <alignment vertical="center"/>
    </xf>
    <xf numFmtId="0" fontId="0" fillId="0" borderId="17" xfId="0" applyFont="1" applyBorder="1" applyAlignment="1">
      <alignment vertical="center"/>
    </xf>
    <xf numFmtId="0" fontId="116" fillId="0" borderId="15" xfId="157" applyFont="1" applyBorder="1"/>
    <xf numFmtId="0" fontId="116" fillId="0" borderId="13" xfId="157" applyFont="1" applyBorder="1"/>
    <xf numFmtId="0" fontId="129" fillId="0" borderId="0" xfId="157" applyFont="1"/>
    <xf numFmtId="0" fontId="0" fillId="78" borderId="16" xfId="0" applyFill="1" applyBorder="1" applyProtection="1">
      <protection locked="0"/>
    </xf>
    <xf numFmtId="0" fontId="0" fillId="78" borderId="17" xfId="0" applyFill="1" applyBorder="1" applyProtection="1">
      <protection locked="0"/>
    </xf>
    <xf numFmtId="0" fontId="0" fillId="78" borderId="0" xfId="0" applyFill="1" applyBorder="1" applyProtection="1">
      <protection locked="0"/>
    </xf>
    <xf numFmtId="0" fontId="0" fillId="78" borderId="14" xfId="0" applyFill="1" applyBorder="1" applyProtection="1">
      <protection locked="0"/>
    </xf>
    <xf numFmtId="0" fontId="0" fillId="78" borderId="11" xfId="0" applyFill="1" applyBorder="1" applyProtection="1">
      <protection locked="0"/>
    </xf>
    <xf numFmtId="0" fontId="0" fillId="78" borderId="12" xfId="0" applyFill="1" applyBorder="1" applyProtection="1">
      <protection locked="0"/>
    </xf>
    <xf numFmtId="0" fontId="19" fillId="0" borderId="20" xfId="0" applyFont="1" applyFill="1" applyBorder="1" applyAlignment="1">
      <alignment horizontal="center" vertical="center" wrapText="1"/>
    </xf>
    <xf numFmtId="0" fontId="0" fillId="0" borderId="11" xfId="0" applyFont="1" applyBorder="1"/>
    <xf numFmtId="0" fontId="0" fillId="0" borderId="12" xfId="0" applyFont="1" applyBorder="1"/>
    <xf numFmtId="10" fontId="0" fillId="78" borderId="0" xfId="0" applyNumberFormat="1" applyFill="1" applyProtection="1">
      <protection locked="0"/>
    </xf>
    <xf numFmtId="185" fontId="0" fillId="78" borderId="0" xfId="0" applyNumberFormat="1" applyFill="1" applyProtection="1">
      <protection locked="0"/>
    </xf>
    <xf numFmtId="0" fontId="116" fillId="75" borderId="14" xfId="0" applyFont="1" applyFill="1" applyBorder="1" applyProtection="1">
      <protection locked="0"/>
    </xf>
    <xf numFmtId="0" fontId="116" fillId="75" borderId="12" xfId="0" applyFont="1" applyFill="1" applyBorder="1" applyProtection="1">
      <protection locked="0"/>
    </xf>
    <xf numFmtId="0" fontId="0" fillId="75" borderId="22" xfId="0" applyFill="1" applyBorder="1" applyProtection="1">
      <protection locked="0"/>
    </xf>
    <xf numFmtId="0" fontId="0" fillId="78" borderId="21" xfId="0" applyFill="1" applyBorder="1" applyAlignment="1" applyProtection="1">
      <alignment horizontal="center"/>
      <protection locked="0"/>
    </xf>
    <xf numFmtId="6" fontId="0" fillId="78" borderId="14" xfId="0" applyNumberFormat="1" applyFill="1" applyBorder="1" applyProtection="1">
      <protection locked="0"/>
    </xf>
    <xf numFmtId="6" fontId="0" fillId="78" borderId="12" xfId="0" applyNumberFormat="1" applyFill="1" applyBorder="1" applyProtection="1">
      <protection locked="0"/>
    </xf>
    <xf numFmtId="0" fontId="118" fillId="0" borderId="0" xfId="0" applyFont="1" applyFill="1" applyBorder="1" applyAlignment="1">
      <alignment horizontal="left" vertical="center" wrapText="1"/>
    </xf>
    <xf numFmtId="0" fontId="118" fillId="0" borderId="0" xfId="0" applyFont="1" applyFill="1" applyBorder="1" applyAlignment="1">
      <alignment horizontal="center" vertical="center" wrapText="1"/>
    </xf>
    <xf numFmtId="0" fontId="19" fillId="0" borderId="14" xfId="0" applyFont="1" applyFill="1" applyBorder="1" applyAlignment="1">
      <alignment horizontal="center" vertical="center" wrapText="1"/>
    </xf>
    <xf numFmtId="0" fontId="112" fillId="0" borderId="13" xfId="0" applyFont="1" applyBorder="1"/>
    <xf numFmtId="0" fontId="29" fillId="0" borderId="0" xfId="0" applyFont="1"/>
    <xf numFmtId="10" fontId="133" fillId="81" borderId="0" xfId="0" applyNumberFormat="1" applyFont="1" applyFill="1"/>
    <xf numFmtId="10" fontId="82" fillId="0" borderId="0" xfId="0" applyNumberFormat="1" applyFont="1" applyFill="1"/>
    <xf numFmtId="0" fontId="0" fillId="0" borderId="0" xfId="0" applyFont="1" applyAlignment="1">
      <alignment wrapText="1"/>
    </xf>
    <xf numFmtId="0" fontId="112" fillId="77" borderId="22" xfId="0" applyFont="1" applyFill="1" applyBorder="1" applyAlignment="1">
      <alignment wrapText="1"/>
    </xf>
    <xf numFmtId="0" fontId="116" fillId="0" borderId="10" xfId="157" applyFont="1" applyBorder="1"/>
    <xf numFmtId="0" fontId="116" fillId="79" borderId="0" xfId="0" applyFont="1" applyFill="1" applyBorder="1" applyAlignment="1">
      <alignment horizontal="left" vertical="center"/>
    </xf>
    <xf numFmtId="0" fontId="116" fillId="79" borderId="11" xfId="0" applyFont="1" applyFill="1" applyBorder="1" applyAlignment="1">
      <alignment horizontal="left" vertical="center"/>
    </xf>
    <xf numFmtId="0" fontId="31" fillId="77" borderId="20" xfId="0" applyFont="1" applyFill="1" applyBorder="1" applyAlignment="1">
      <alignment horizontal="center" vertical="center"/>
    </xf>
    <xf numFmtId="0" fontId="116" fillId="79" borderId="0" xfId="0" applyFont="1" applyFill="1" applyBorder="1" applyAlignment="1">
      <alignment horizontal="left" vertical="center" wrapText="1"/>
    </xf>
    <xf numFmtId="0" fontId="0" fillId="79" borderId="13" xfId="0" applyFill="1" applyBorder="1" applyAlignment="1">
      <alignment horizontal="center" vertical="center" wrapText="1"/>
    </xf>
    <xf numFmtId="0" fontId="135" fillId="0" borderId="0" xfId="0" applyFont="1"/>
    <xf numFmtId="0" fontId="135" fillId="0" borderId="0" xfId="0" applyFont="1" applyAlignment="1">
      <alignment wrapText="1"/>
    </xf>
    <xf numFmtId="0" fontId="19" fillId="77" borderId="0" xfId="0" applyFont="1" applyFill="1" applyBorder="1" applyAlignment="1">
      <alignment horizontal="left" vertical="center" wrapText="1"/>
    </xf>
    <xf numFmtId="0" fontId="0" fillId="0" borderId="13" xfId="0" applyBorder="1" applyAlignment="1">
      <alignment wrapText="1"/>
    </xf>
    <xf numFmtId="0" fontId="19" fillId="39" borderId="0" xfId="0" applyFont="1" applyFill="1" applyAlignment="1">
      <alignment wrapText="1"/>
    </xf>
    <xf numFmtId="0" fontId="19" fillId="39" borderId="0" xfId="0" applyFont="1" applyFill="1" applyAlignment="1">
      <alignment horizontal="center" vertical="center"/>
    </xf>
    <xf numFmtId="0" fontId="116" fillId="0" borderId="13" xfId="157" applyFont="1" applyFill="1" applyBorder="1" applyAlignment="1">
      <alignment vertical="center"/>
    </xf>
    <xf numFmtId="0" fontId="0" fillId="0" borderId="13" xfId="0" applyBorder="1" applyAlignment="1">
      <alignment vertical="center"/>
    </xf>
    <xf numFmtId="0" fontId="19" fillId="79" borderId="0" xfId="0" applyFont="1" applyFill="1" applyAlignment="1">
      <alignment wrapText="1"/>
    </xf>
    <xf numFmtId="0" fontId="19" fillId="77" borderId="13" xfId="0" applyFont="1" applyFill="1" applyBorder="1" applyAlignment="1"/>
    <xf numFmtId="49" fontId="0" fillId="0" borderId="13" xfId="1" applyNumberFormat="1" applyFont="1" applyBorder="1" applyAlignment="1">
      <alignment horizontal="left" wrapText="1"/>
    </xf>
    <xf numFmtId="0" fontId="0" fillId="79" borderId="13" xfId="0" applyFill="1" applyBorder="1" applyAlignment="1">
      <alignment horizontal="left" vertical="center" wrapText="1"/>
    </xf>
    <xf numFmtId="0" fontId="19" fillId="39" borderId="0" xfId="0" applyFont="1" applyFill="1" applyBorder="1" applyAlignment="1">
      <alignment wrapText="1"/>
    </xf>
    <xf numFmtId="0" fontId="124" fillId="0" borderId="0" xfId="0" applyFont="1"/>
    <xf numFmtId="0" fontId="118" fillId="0" borderId="0" xfId="0" applyFont="1"/>
    <xf numFmtId="0" fontId="118" fillId="0" borderId="0" xfId="0" quotePrefix="1" applyFont="1"/>
    <xf numFmtId="0" fontId="31" fillId="77" borderId="20" xfId="0" applyFont="1" applyFill="1" applyBorder="1" applyAlignment="1">
      <alignment horizontal="center" vertical="center"/>
    </xf>
    <xf numFmtId="0" fontId="31" fillId="80" borderId="20" xfId="0" applyFont="1" applyFill="1" applyBorder="1" applyAlignment="1">
      <alignment horizontal="center" vertical="center"/>
    </xf>
    <xf numFmtId="164" fontId="0" fillId="0" borderId="0" xfId="0" applyNumberFormat="1" applyFont="1" applyAlignment="1">
      <alignment horizontal="left"/>
    </xf>
    <xf numFmtId="0" fontId="48" fillId="0" borderId="0" xfId="157"/>
    <xf numFmtId="0" fontId="134" fillId="78" borderId="0" xfId="0" applyFont="1" applyFill="1"/>
    <xf numFmtId="0" fontId="116" fillId="78" borderId="0" xfId="0" applyFont="1" applyFill="1"/>
    <xf numFmtId="0" fontId="19" fillId="0" borderId="13" xfId="0" applyFont="1" applyFill="1" applyBorder="1" applyAlignment="1">
      <alignment vertical="center"/>
    </xf>
    <xf numFmtId="0" fontId="99" fillId="0" borderId="15" xfId="0" applyFont="1" applyBorder="1"/>
    <xf numFmtId="0" fontId="115" fillId="0" borderId="16" xfId="0" applyFont="1" applyBorder="1"/>
    <xf numFmtId="0" fontId="115" fillId="0" borderId="0" xfId="0" applyFont="1" applyBorder="1"/>
    <xf numFmtId="9" fontId="0" fillId="78" borderId="11" xfId="0" applyNumberFormat="1" applyFill="1" applyBorder="1" applyProtection="1">
      <protection locked="0"/>
    </xf>
    <xf numFmtId="0" fontId="113" fillId="0" borderId="11" xfId="0" quotePrefix="1" applyFont="1" applyBorder="1"/>
    <xf numFmtId="0" fontId="0" fillId="0" borderId="12" xfId="0" applyBorder="1"/>
    <xf numFmtId="0" fontId="99" fillId="0" borderId="15" xfId="0" applyFont="1" applyFill="1" applyBorder="1" applyAlignment="1">
      <alignment vertical="center"/>
    </xf>
    <xf numFmtId="0" fontId="113" fillId="0" borderId="11" xfId="0" applyFont="1" applyBorder="1"/>
    <xf numFmtId="0" fontId="19" fillId="78" borderId="0" xfId="0" applyFont="1" applyFill="1" applyBorder="1" applyAlignment="1" applyProtection="1">
      <alignment horizontal="center" vertical="center" wrapText="1"/>
      <protection locked="0"/>
    </xf>
    <xf numFmtId="0" fontId="121" fillId="80" borderId="20" xfId="0" applyFont="1" applyFill="1" applyBorder="1" applyAlignment="1">
      <alignment horizontal="center" vertical="center"/>
    </xf>
    <xf numFmtId="0" fontId="19" fillId="80" borderId="22" xfId="0" applyFont="1" applyFill="1" applyBorder="1" applyAlignment="1">
      <alignment horizontal="center" vertical="center"/>
    </xf>
    <xf numFmtId="0" fontId="19" fillId="78" borderId="0" xfId="0" applyFont="1" applyFill="1" applyBorder="1" applyAlignment="1" applyProtection="1">
      <alignment horizontal="center" vertical="center"/>
      <protection locked="0"/>
    </xf>
    <xf numFmtId="0" fontId="19" fillId="78" borderId="11" xfId="0" applyFont="1" applyFill="1" applyBorder="1" applyAlignment="1" applyProtection="1">
      <alignment horizontal="center" vertical="center"/>
      <protection locked="0"/>
    </xf>
    <xf numFmtId="0" fontId="121" fillId="77" borderId="20" xfId="0" applyFont="1" applyFill="1" applyBorder="1" applyAlignment="1">
      <alignment horizontal="center" vertical="center"/>
    </xf>
    <xf numFmtId="0" fontId="19" fillId="77" borderId="22" xfId="0" applyFont="1" applyFill="1" applyBorder="1" applyAlignment="1">
      <alignment horizontal="center" vertical="center"/>
    </xf>
    <xf numFmtId="0" fontId="19" fillId="0" borderId="0" xfId="0" applyFont="1" applyFill="1" applyBorder="1" applyAlignment="1" applyProtection="1">
      <alignment horizontal="center" vertical="center" wrapText="1"/>
      <protection locked="0"/>
    </xf>
    <xf numFmtId="0" fontId="31" fillId="80" borderId="19" xfId="0" applyFont="1" applyFill="1" applyBorder="1" applyAlignment="1">
      <alignment horizontal="left" vertical="center"/>
    </xf>
    <xf numFmtId="0" fontId="19" fillId="80" borderId="13" xfId="0" applyFont="1" applyFill="1" applyBorder="1" applyAlignment="1">
      <alignment horizontal="left" vertical="center" wrapText="1"/>
    </xf>
    <xf numFmtId="0" fontId="19" fillId="80" borderId="10" xfId="0" applyFont="1" applyFill="1" applyBorder="1" applyAlignment="1">
      <alignment horizontal="left" vertical="center"/>
    </xf>
    <xf numFmtId="0" fontId="135" fillId="0" borderId="0" xfId="0" applyFont="1" applyAlignment="1">
      <alignment horizontal="left" vertical="center"/>
    </xf>
    <xf numFmtId="0" fontId="135" fillId="0" borderId="0" xfId="0" applyFont="1" applyAlignment="1">
      <alignment horizontal="left" vertical="center" wrapText="1"/>
    </xf>
    <xf numFmtId="0" fontId="135" fillId="0" borderId="21" xfId="0" applyFont="1" applyBorder="1" applyAlignment="1">
      <alignment horizontal="left" vertical="center"/>
    </xf>
    <xf numFmtId="0" fontId="128" fillId="79" borderId="0" xfId="157" applyFont="1" applyFill="1" applyBorder="1" applyAlignment="1">
      <alignment horizontal="left" vertical="center" wrapText="1"/>
    </xf>
    <xf numFmtId="0" fontId="48" fillId="79" borderId="0" xfId="157" applyFill="1" applyBorder="1" applyAlignment="1">
      <alignment horizontal="left" vertical="center" wrapText="1"/>
    </xf>
    <xf numFmtId="0" fontId="129" fillId="79" borderId="0" xfId="157" applyFont="1" applyFill="1" applyBorder="1" applyAlignment="1">
      <alignment horizontal="left" vertical="center" wrapText="1"/>
    </xf>
    <xf numFmtId="0" fontId="0" fillId="79" borderId="14" xfId="0" applyFill="1" applyBorder="1" applyAlignment="1">
      <alignment horizontal="left" vertical="center"/>
    </xf>
    <xf numFmtId="0" fontId="19" fillId="79" borderId="13" xfId="0" applyFont="1" applyFill="1" applyBorder="1" applyAlignment="1">
      <alignment horizontal="left" vertical="center"/>
    </xf>
    <xf numFmtId="0" fontId="48" fillId="79" borderId="11" xfId="157" applyFill="1" applyBorder="1" applyAlignment="1">
      <alignment horizontal="left" vertical="center" wrapText="1"/>
    </xf>
    <xf numFmtId="0" fontId="0" fillId="79" borderId="17" xfId="0" applyFill="1" applyBorder="1" applyAlignment="1">
      <alignment horizontal="left" vertical="center" wrapText="1"/>
    </xf>
    <xf numFmtId="0" fontId="0" fillId="79" borderId="14" xfId="0" applyFill="1" applyBorder="1" applyAlignment="1">
      <alignment horizontal="left" vertical="center" wrapText="1"/>
    </xf>
    <xf numFmtId="0" fontId="48" fillId="0" borderId="0" xfId="157" applyAlignment="1">
      <alignment vertical="center"/>
    </xf>
    <xf numFmtId="0" fontId="0" fillId="0" borderId="0" xfId="0" applyFont="1" applyBorder="1" applyAlignment="1">
      <alignment wrapText="1"/>
    </xf>
    <xf numFmtId="0" fontId="0" fillId="0" borderId="14" xfId="0" applyFont="1" applyBorder="1" applyAlignment="1">
      <alignment wrapText="1"/>
    </xf>
    <xf numFmtId="0" fontId="0" fillId="0" borderId="16" xfId="0" applyFont="1" applyBorder="1" applyAlignment="1">
      <alignment wrapText="1"/>
    </xf>
    <xf numFmtId="0" fontId="0" fillId="0" borderId="17" xfId="0" applyFont="1" applyBorder="1" applyAlignment="1">
      <alignment wrapText="1"/>
    </xf>
    <xf numFmtId="0" fontId="0" fillId="0" borderId="0" xfId="0" applyFont="1" applyFill="1" applyBorder="1" applyAlignment="1">
      <alignment wrapText="1"/>
    </xf>
    <xf numFmtId="0" fontId="0" fillId="0" borderId="14" xfId="0" applyFont="1" applyFill="1" applyBorder="1" applyAlignment="1">
      <alignment wrapText="1"/>
    </xf>
    <xf numFmtId="0" fontId="132" fillId="77" borderId="15" xfId="0" applyFont="1" applyFill="1" applyBorder="1" applyAlignment="1">
      <alignment horizontal="left" vertical="top" wrapText="1"/>
    </xf>
    <xf numFmtId="0" fontId="132" fillId="77" borderId="16" xfId="0" applyFont="1" applyFill="1" applyBorder="1" applyAlignment="1">
      <alignment horizontal="left" vertical="top" wrapText="1"/>
    </xf>
    <xf numFmtId="0" fontId="132" fillId="77" borderId="17" xfId="0" applyFont="1" applyFill="1" applyBorder="1" applyAlignment="1">
      <alignment horizontal="left" vertical="top" wrapText="1"/>
    </xf>
    <xf numFmtId="0" fontId="132" fillId="77" borderId="13" xfId="0" applyFont="1" applyFill="1" applyBorder="1" applyAlignment="1">
      <alignment horizontal="left" vertical="top" wrapText="1"/>
    </xf>
    <xf numFmtId="0" fontId="132" fillId="77" borderId="0" xfId="0" applyFont="1" applyFill="1" applyBorder="1" applyAlignment="1">
      <alignment horizontal="left" vertical="top" wrapText="1"/>
    </xf>
    <xf numFmtId="0" fontId="132" fillId="77" borderId="14" xfId="0" applyFont="1" applyFill="1" applyBorder="1" applyAlignment="1">
      <alignment horizontal="left" vertical="top" wrapText="1"/>
    </xf>
    <xf numFmtId="0" fontId="132" fillId="77" borderId="10" xfId="0" applyFont="1" applyFill="1" applyBorder="1" applyAlignment="1">
      <alignment horizontal="left" vertical="top" wrapText="1"/>
    </xf>
    <xf numFmtId="0" fontId="132" fillId="77" borderId="11" xfId="0" applyFont="1" applyFill="1" applyBorder="1" applyAlignment="1">
      <alignment horizontal="left" vertical="top" wrapText="1"/>
    </xf>
    <xf numFmtId="0" fontId="132" fillId="77" borderId="12" xfId="0" applyFont="1" applyFill="1" applyBorder="1" applyAlignment="1">
      <alignment horizontal="left" vertical="top" wrapText="1"/>
    </xf>
    <xf numFmtId="0" fontId="0" fillId="77" borderId="15" xfId="0" applyFill="1" applyBorder="1" applyAlignment="1">
      <alignment horizontal="left" vertical="center" wrapText="1"/>
    </xf>
    <xf numFmtId="0" fontId="0" fillId="77" borderId="16" xfId="0" applyFill="1" applyBorder="1" applyAlignment="1">
      <alignment horizontal="left" vertical="center" wrapText="1"/>
    </xf>
    <xf numFmtId="0" fontId="0" fillId="77" borderId="17" xfId="0" applyFill="1" applyBorder="1" applyAlignment="1">
      <alignment horizontal="left" vertical="center" wrapText="1"/>
    </xf>
    <xf numFmtId="0" fontId="0" fillId="77" borderId="13" xfId="0" applyFill="1" applyBorder="1" applyAlignment="1">
      <alignment horizontal="left" vertical="center" wrapText="1"/>
    </xf>
    <xf numFmtId="0" fontId="0" fillId="77" borderId="0" xfId="0" applyFill="1" applyBorder="1" applyAlignment="1">
      <alignment horizontal="left" vertical="center" wrapText="1"/>
    </xf>
    <xf numFmtId="0" fontId="0" fillId="77" borderId="14" xfId="0" applyFill="1" applyBorder="1" applyAlignment="1">
      <alignment horizontal="left" vertical="center" wrapText="1"/>
    </xf>
    <xf numFmtId="0" fontId="0" fillId="77" borderId="10" xfId="0" applyFill="1" applyBorder="1" applyAlignment="1">
      <alignment horizontal="left" vertical="center" wrapText="1"/>
    </xf>
    <xf numFmtId="0" fontId="0" fillId="77" borderId="11" xfId="0" applyFill="1" applyBorder="1" applyAlignment="1">
      <alignment horizontal="left" vertical="center" wrapText="1"/>
    </xf>
    <xf numFmtId="0" fontId="0" fillId="77" borderId="12" xfId="0" applyFill="1" applyBorder="1" applyAlignment="1">
      <alignment horizontal="left" vertical="center" wrapText="1"/>
    </xf>
    <xf numFmtId="0" fontId="130" fillId="79" borderId="15" xfId="0" applyFont="1" applyFill="1" applyBorder="1" applyAlignment="1">
      <alignment horizontal="left" vertical="center" wrapText="1"/>
    </xf>
    <xf numFmtId="0" fontId="130" fillId="79" borderId="13" xfId="0" applyFont="1" applyFill="1" applyBorder="1" applyAlignment="1">
      <alignment horizontal="left" vertical="center" wrapText="1"/>
    </xf>
    <xf numFmtId="0" fontId="130" fillId="79" borderId="10" xfId="0" applyFont="1" applyFill="1" applyBorder="1" applyAlignment="1">
      <alignment horizontal="left" vertical="center" wrapText="1"/>
    </xf>
    <xf numFmtId="0" fontId="0" fillId="76" borderId="15" xfId="0" applyFill="1" applyBorder="1" applyAlignment="1">
      <alignment horizontal="center" wrapText="1"/>
    </xf>
    <xf numFmtId="0" fontId="0" fillId="76" borderId="17" xfId="0" applyFill="1" applyBorder="1" applyAlignment="1">
      <alignment horizontal="center" wrapText="1"/>
    </xf>
    <xf numFmtId="0" fontId="0" fillId="76" borderId="10" xfId="0" applyFill="1" applyBorder="1" applyAlignment="1">
      <alignment horizontal="center" wrapText="1"/>
    </xf>
    <xf numFmtId="0" fontId="0" fillId="76" borderId="12" xfId="0" applyFill="1" applyBorder="1" applyAlignment="1">
      <alignment horizontal="center" wrapText="1"/>
    </xf>
    <xf numFmtId="0" fontId="134" fillId="79" borderId="19" xfId="0" applyFont="1" applyFill="1" applyBorder="1" applyAlignment="1">
      <alignment horizontal="center" vertical="center"/>
    </xf>
    <xf numFmtId="0" fontId="134" fillId="79" borderId="20" xfId="0" applyFont="1" applyFill="1" applyBorder="1" applyAlignment="1">
      <alignment horizontal="center" vertical="center"/>
    </xf>
    <xf numFmtId="0" fontId="0" fillId="0" borderId="22" xfId="0" applyBorder="1" applyAlignment="1">
      <alignment vertical="center"/>
    </xf>
    <xf numFmtId="0" fontId="0" fillId="79" borderId="22" xfId="0" applyFill="1" applyBorder="1" applyAlignment="1">
      <alignment vertical="center"/>
    </xf>
    <xf numFmtId="0" fontId="118" fillId="0" borderId="0" xfId="0" quotePrefix="1" applyFont="1" applyAlignment="1">
      <alignment horizontal="left" vertical="center" wrapText="1"/>
    </xf>
    <xf numFmtId="0" fontId="118" fillId="76" borderId="15" xfId="0" applyFont="1" applyFill="1" applyBorder="1" applyAlignment="1">
      <alignment horizontal="center" vertical="center" wrapText="1"/>
    </xf>
    <xf numFmtId="0" fontId="118" fillId="76" borderId="16" xfId="0" applyFont="1" applyFill="1" applyBorder="1" applyAlignment="1">
      <alignment horizontal="center" vertical="center" wrapText="1"/>
    </xf>
    <xf numFmtId="0" fontId="118" fillId="76" borderId="17" xfId="0" applyFont="1" applyFill="1" applyBorder="1" applyAlignment="1">
      <alignment horizontal="center" vertical="center" wrapText="1"/>
    </xf>
    <xf numFmtId="0" fontId="118" fillId="76" borderId="10" xfId="0" applyFont="1" applyFill="1" applyBorder="1" applyAlignment="1">
      <alignment horizontal="center" vertical="center" wrapText="1"/>
    </xf>
    <xf numFmtId="0" fontId="118" fillId="76" borderId="11" xfId="0" applyFont="1" applyFill="1" applyBorder="1" applyAlignment="1">
      <alignment horizontal="center" vertical="center" wrapText="1"/>
    </xf>
    <xf numFmtId="0" fontId="118" fillId="76" borderId="12" xfId="0" applyFont="1" applyFill="1" applyBorder="1" applyAlignment="1">
      <alignment horizontal="center" vertical="center" wrapText="1"/>
    </xf>
    <xf numFmtId="0" fontId="118" fillId="0" borderId="0" xfId="0" applyFont="1" applyAlignment="1">
      <alignment horizontal="left" vertical="center" wrapText="1"/>
    </xf>
    <xf numFmtId="9" fontId="31" fillId="39" borderId="0" xfId="0" applyNumberFormat="1" applyFont="1" applyFill="1" applyAlignment="1">
      <alignment horizontal="center"/>
    </xf>
    <xf numFmtId="0" fontId="19" fillId="80" borderId="41" xfId="0" applyFont="1" applyFill="1" applyBorder="1" applyAlignment="1">
      <alignment horizontal="center" vertical="center" wrapText="1"/>
    </xf>
    <xf numFmtId="0" fontId="19" fillId="80" borderId="18" xfId="0" applyFont="1" applyFill="1" applyBorder="1" applyAlignment="1">
      <alignment horizontal="center" vertical="center" wrapText="1"/>
    </xf>
    <xf numFmtId="0" fontId="19" fillId="80" borderId="42" xfId="0" applyFont="1" applyFill="1" applyBorder="1" applyAlignment="1">
      <alignment horizontal="center" vertical="center" wrapText="1"/>
    </xf>
    <xf numFmtId="0" fontId="19" fillId="77" borderId="41" xfId="0" applyFont="1" applyFill="1" applyBorder="1" applyAlignment="1">
      <alignment horizontal="center" vertical="center" wrapText="1"/>
    </xf>
    <xf numFmtId="0" fontId="19" fillId="77" borderId="18" xfId="0" applyFont="1" applyFill="1" applyBorder="1" applyAlignment="1">
      <alignment horizontal="center" vertical="center" wrapText="1"/>
    </xf>
    <xf numFmtId="0" fontId="19" fillId="77" borderId="42" xfId="0" applyFont="1" applyFill="1" applyBorder="1" applyAlignment="1">
      <alignment horizontal="center" vertical="center" wrapText="1"/>
    </xf>
    <xf numFmtId="0" fontId="118" fillId="0" borderId="0" xfId="0" applyFont="1" applyFill="1" applyBorder="1" applyAlignment="1">
      <alignment horizontal="left" vertical="center" wrapText="1"/>
    </xf>
    <xf numFmtId="0" fontId="120" fillId="80" borderId="14" xfId="0" applyFont="1" applyFill="1" applyBorder="1" applyAlignment="1">
      <alignment horizontal="center" vertical="center"/>
    </xf>
    <xf numFmtId="0" fontId="31" fillId="77" borderId="20" xfId="0" applyFont="1" applyFill="1" applyBorder="1" applyAlignment="1">
      <alignment horizontal="center" vertical="center"/>
    </xf>
    <xf numFmtId="0" fontId="31" fillId="77" borderId="22" xfId="0" applyFont="1" applyFill="1" applyBorder="1" applyAlignment="1">
      <alignment horizontal="center" vertical="center"/>
    </xf>
    <xf numFmtId="0" fontId="120" fillId="80" borderId="0" xfId="0" applyFont="1" applyFill="1" applyBorder="1" applyAlignment="1">
      <alignment horizontal="center" vertical="center"/>
    </xf>
    <xf numFmtId="0" fontId="120" fillId="77" borderId="16" xfId="0" applyFont="1" applyFill="1" applyBorder="1" applyAlignment="1">
      <alignment horizontal="center" vertical="center"/>
    </xf>
    <xf numFmtId="0" fontId="120" fillId="77" borderId="17" xfId="0" applyFont="1" applyFill="1" applyBorder="1" applyAlignment="1">
      <alignment horizontal="center" vertical="center"/>
    </xf>
    <xf numFmtId="0" fontId="120" fillId="77" borderId="14" xfId="0" applyFont="1" applyFill="1" applyBorder="1" applyAlignment="1">
      <alignment horizontal="center" vertical="center"/>
    </xf>
    <xf numFmtId="0" fontId="123" fillId="0" borderId="11" xfId="0" applyFont="1" applyBorder="1" applyAlignment="1">
      <alignment horizontal="center" vertical="top"/>
    </xf>
    <xf numFmtId="0" fontId="120" fillId="77" borderId="20" xfId="0" applyFont="1" applyFill="1" applyBorder="1" applyAlignment="1">
      <alignment horizontal="center" vertical="center"/>
    </xf>
    <xf numFmtId="0" fontId="120" fillId="77" borderId="22" xfId="0" applyFont="1" applyFill="1" applyBorder="1" applyAlignment="1">
      <alignment horizontal="center" vertical="center"/>
    </xf>
    <xf numFmtId="0" fontId="120" fillId="80" borderId="12" xfId="0" applyFont="1" applyFill="1" applyBorder="1" applyAlignment="1">
      <alignment horizontal="center" vertical="center"/>
    </xf>
    <xf numFmtId="0" fontId="120" fillId="77" borderId="0" xfId="0" applyFont="1" applyFill="1" applyBorder="1" applyAlignment="1">
      <alignment horizontal="center" vertical="center"/>
    </xf>
    <xf numFmtId="0" fontId="120" fillId="77" borderId="11" xfId="0" applyFont="1" applyFill="1" applyBorder="1" applyAlignment="1">
      <alignment horizontal="center" vertical="center"/>
    </xf>
    <xf numFmtId="0" fontId="120" fillId="77" borderId="12" xfId="0" applyFont="1" applyFill="1" applyBorder="1" applyAlignment="1">
      <alignment horizontal="center" vertical="center"/>
    </xf>
    <xf numFmtId="0" fontId="31" fillId="80" borderId="20" xfId="0" applyFont="1" applyFill="1" applyBorder="1" applyAlignment="1">
      <alignment horizontal="center" vertical="center"/>
    </xf>
    <xf numFmtId="0" fontId="31" fillId="80" borderId="22" xfId="0" applyFont="1" applyFill="1" applyBorder="1" applyAlignment="1">
      <alignment horizontal="center" vertical="center"/>
    </xf>
    <xf numFmtId="0" fontId="124" fillId="76" borderId="15" xfId="0" applyFont="1" applyFill="1" applyBorder="1" applyAlignment="1">
      <alignment horizontal="center" vertical="center" wrapText="1"/>
    </xf>
    <xf numFmtId="0" fontId="19" fillId="76" borderId="19" xfId="0" applyFont="1" applyFill="1" applyBorder="1" applyAlignment="1">
      <alignment horizontal="center" vertical="center" wrapText="1"/>
    </xf>
    <xf numFmtId="0" fontId="19" fillId="76" borderId="20" xfId="0" applyFont="1" applyFill="1" applyBorder="1" applyAlignment="1">
      <alignment horizontal="center" vertical="center" wrapText="1"/>
    </xf>
    <xf numFmtId="0" fontId="19" fillId="76" borderId="22" xfId="0" applyFont="1" applyFill="1" applyBorder="1" applyAlignment="1">
      <alignment horizontal="center" vertical="center" wrapText="1"/>
    </xf>
    <xf numFmtId="0" fontId="31" fillId="77" borderId="20" xfId="0" applyFont="1" applyFill="1" applyBorder="1" applyAlignment="1">
      <alignment horizontal="left" vertical="center"/>
    </xf>
    <xf numFmtId="0" fontId="31" fillId="77" borderId="22" xfId="0" applyFont="1" applyFill="1" applyBorder="1" applyAlignment="1">
      <alignment horizontal="left" vertical="center"/>
    </xf>
    <xf numFmtId="0" fontId="31" fillId="39" borderId="0" xfId="0" applyFont="1" applyFill="1" applyAlignment="1">
      <alignment horizontal="center"/>
    </xf>
    <xf numFmtId="0" fontId="120" fillId="77" borderId="20" xfId="0" applyFont="1" applyFill="1" applyBorder="1" applyAlignment="1">
      <alignment horizontal="center" vertical="center" wrapText="1"/>
    </xf>
    <xf numFmtId="0" fontId="120" fillId="77" borderId="22" xfId="0" applyFont="1" applyFill="1" applyBorder="1" applyAlignment="1">
      <alignment horizontal="center" vertical="center" wrapText="1"/>
    </xf>
    <xf numFmtId="0" fontId="19" fillId="39" borderId="0" xfId="0" applyFont="1" applyFill="1" applyAlignment="1">
      <alignment horizontal="center"/>
    </xf>
    <xf numFmtId="0" fontId="19" fillId="76" borderId="19" xfId="0" applyFont="1" applyFill="1" applyBorder="1" applyAlignment="1">
      <alignment horizontal="center" vertical="center"/>
    </xf>
    <xf numFmtId="0" fontId="19" fillId="76" borderId="20" xfId="0" applyFont="1" applyFill="1" applyBorder="1" applyAlignment="1">
      <alignment horizontal="center" vertical="center"/>
    </xf>
    <xf numFmtId="0" fontId="19" fillId="76" borderId="22" xfId="0" applyFont="1" applyFill="1" applyBorder="1" applyAlignment="1">
      <alignment horizontal="center" vertical="center"/>
    </xf>
    <xf numFmtId="0" fontId="19" fillId="76" borderId="15" xfId="0" applyFont="1" applyFill="1" applyBorder="1" applyAlignment="1">
      <alignment horizontal="center" vertical="center" wrapText="1"/>
    </xf>
    <xf numFmtId="0" fontId="19" fillId="76" borderId="16" xfId="0" applyFont="1" applyFill="1" applyBorder="1" applyAlignment="1">
      <alignment horizontal="center" vertical="center" wrapText="1"/>
    </xf>
    <xf numFmtId="0" fontId="19" fillId="76" borderId="17" xfId="0" applyFont="1" applyFill="1" applyBorder="1" applyAlignment="1">
      <alignment horizontal="center" vertical="center" wrapText="1"/>
    </xf>
    <xf numFmtId="0" fontId="19" fillId="76" borderId="13" xfId="0" applyFont="1" applyFill="1" applyBorder="1" applyAlignment="1">
      <alignment horizontal="center" vertical="center" wrapText="1"/>
    </xf>
    <xf numFmtId="0" fontId="19" fillId="76" borderId="0" xfId="0" applyFont="1" applyFill="1" applyBorder="1" applyAlignment="1">
      <alignment horizontal="center" vertical="center" wrapText="1"/>
    </xf>
    <xf numFmtId="0" fontId="19" fillId="76" borderId="14" xfId="0" applyFont="1" applyFill="1" applyBorder="1" applyAlignment="1">
      <alignment horizontal="center" vertical="center" wrapText="1"/>
    </xf>
    <xf numFmtId="0" fontId="19" fillId="76" borderId="10" xfId="0" applyFont="1" applyFill="1" applyBorder="1" applyAlignment="1">
      <alignment horizontal="center" vertical="center" wrapText="1"/>
    </xf>
    <xf numFmtId="0" fontId="19" fillId="76" borderId="11" xfId="0" applyFont="1" applyFill="1" applyBorder="1" applyAlignment="1">
      <alignment horizontal="center" vertical="center" wrapText="1"/>
    </xf>
    <xf numFmtId="0" fontId="19" fillId="76" borderId="12" xfId="0" applyFont="1" applyFill="1" applyBorder="1" applyAlignment="1">
      <alignment horizontal="center" vertical="center" wrapText="1"/>
    </xf>
    <xf numFmtId="0" fontId="0" fillId="76" borderId="15" xfId="0" applyFill="1" applyBorder="1" applyAlignment="1">
      <alignment horizontal="left" vertical="center" wrapText="1"/>
    </xf>
    <xf numFmtId="0" fontId="0" fillId="76" borderId="16" xfId="0" applyFill="1" applyBorder="1" applyAlignment="1">
      <alignment horizontal="left" vertical="center" wrapText="1"/>
    </xf>
    <xf numFmtId="0" fontId="0" fillId="76" borderId="17" xfId="0" applyFill="1" applyBorder="1" applyAlignment="1">
      <alignment horizontal="left" vertical="center" wrapText="1"/>
    </xf>
    <xf numFmtId="0" fontId="0" fillId="76" borderId="13" xfId="0" applyFill="1" applyBorder="1" applyAlignment="1">
      <alignment horizontal="left" vertical="center" wrapText="1"/>
    </xf>
    <xf numFmtId="0" fontId="0" fillId="76" borderId="0" xfId="0" applyFill="1" applyBorder="1" applyAlignment="1">
      <alignment horizontal="left" vertical="center" wrapText="1"/>
    </xf>
    <xf numFmtId="0" fontId="0" fillId="76" borderId="14" xfId="0" applyFill="1" applyBorder="1" applyAlignment="1">
      <alignment horizontal="left" vertical="center" wrapText="1"/>
    </xf>
    <xf numFmtId="0" fontId="0" fillId="76" borderId="10" xfId="0" applyFill="1" applyBorder="1" applyAlignment="1">
      <alignment horizontal="left" vertical="center" wrapText="1"/>
    </xf>
    <xf numFmtId="0" fontId="0" fillId="76" borderId="11" xfId="0" applyFill="1" applyBorder="1" applyAlignment="1">
      <alignment horizontal="left" vertical="center" wrapText="1"/>
    </xf>
    <xf numFmtId="0" fontId="0" fillId="76" borderId="12" xfId="0" applyFill="1" applyBorder="1" applyAlignment="1">
      <alignment horizontal="left" vertical="center" wrapText="1"/>
    </xf>
    <xf numFmtId="0" fontId="0" fillId="80" borderId="15" xfId="0" applyFill="1" applyBorder="1" applyAlignment="1">
      <alignment horizontal="center" vertical="center" wrapText="1"/>
    </xf>
    <xf numFmtId="0" fontId="0" fillId="80" borderId="13" xfId="0" applyFill="1" applyBorder="1" applyAlignment="1">
      <alignment horizontal="center" vertical="center" wrapText="1"/>
    </xf>
    <xf numFmtId="0" fontId="0" fillId="80" borderId="10" xfId="0" applyFill="1" applyBorder="1" applyAlignment="1">
      <alignment horizontal="center" vertical="center" wrapText="1"/>
    </xf>
    <xf numFmtId="0" fontId="0" fillId="77" borderId="15" xfId="0" applyFill="1" applyBorder="1" applyAlignment="1">
      <alignment horizontal="center" vertical="center" wrapText="1"/>
    </xf>
    <xf numFmtId="0" fontId="0" fillId="77" borderId="13" xfId="0" applyFill="1" applyBorder="1" applyAlignment="1">
      <alignment horizontal="center" vertical="center" wrapText="1"/>
    </xf>
    <xf numFmtId="0" fontId="0" fillId="77" borderId="10" xfId="0" applyFill="1" applyBorder="1" applyAlignment="1">
      <alignment horizontal="center" vertical="center" wrapText="1"/>
    </xf>
    <xf numFmtId="0" fontId="0" fillId="0" borderId="19" xfId="0" applyBorder="1" applyAlignment="1">
      <alignment horizontal="center" vertical="center"/>
    </xf>
    <xf numFmtId="0" fontId="0" fillId="0" borderId="20" xfId="0" applyBorder="1" applyAlignment="1">
      <alignment horizontal="center" vertical="center"/>
    </xf>
    <xf numFmtId="0" fontId="0" fillId="0" borderId="22" xfId="0" applyBorder="1" applyAlignment="1">
      <alignment horizontal="center" vertical="center"/>
    </xf>
    <xf numFmtId="0" fontId="16" fillId="0" borderId="19" xfId="0" applyFont="1" applyFill="1" applyBorder="1" applyAlignment="1">
      <alignment horizontal="center" vertical="center"/>
    </xf>
    <xf numFmtId="0" fontId="16" fillId="0" borderId="20" xfId="0" applyFont="1" applyFill="1" applyBorder="1" applyAlignment="1">
      <alignment horizontal="center" vertical="center"/>
    </xf>
    <xf numFmtId="0" fontId="16" fillId="0" borderId="22" xfId="0" applyFont="1" applyFill="1" applyBorder="1" applyAlignment="1">
      <alignment horizontal="center" vertical="center"/>
    </xf>
    <xf numFmtId="0" fontId="14" fillId="0" borderId="0" xfId="0" applyFont="1" applyAlignment="1">
      <alignment horizontal="center" wrapText="1"/>
    </xf>
  </cellXfs>
  <cellStyles count="622">
    <cellStyle name="%" xfId="160"/>
    <cellStyle name="% 2" xfId="161"/>
    <cellStyle name="% 3" xfId="162"/>
    <cellStyle name="%_PEF FSBR2011" xfId="163"/>
    <cellStyle name="]_x000d__x000a_Zoomed=1_x000d__x000a_Row=0_x000d__x000a_Column=0_x000d__x000a_Height=0_x000d__x000a_Width=0_x000d__x000a_FontName=FoxFont_x000d__x000a_FontStyle=0_x000d__x000a_FontSize=9_x000d__x000a_PrtFontName=FoxPrin" xfId="164"/>
    <cellStyle name="_TableHead" xfId="165"/>
    <cellStyle name="1dp" xfId="166"/>
    <cellStyle name="1dp 2" xfId="167"/>
    <cellStyle name="20% - Accent1 2" xfId="130"/>
    <cellStyle name="20% - Accent1 2 2" xfId="168"/>
    <cellStyle name="20% - Accent1 3" xfId="169"/>
    <cellStyle name="20% - Accent1 4" xfId="81"/>
    <cellStyle name="20% - Accent1 5" xfId="34"/>
    <cellStyle name="20% - Accent2 2" xfId="134"/>
    <cellStyle name="20% - Accent2 2 2" xfId="170"/>
    <cellStyle name="20% - Accent2 3" xfId="171"/>
    <cellStyle name="20% - Accent2 4" xfId="85"/>
    <cellStyle name="20% - Accent2 5" xfId="38"/>
    <cellStyle name="20% - Accent3 2" xfId="138"/>
    <cellStyle name="20% - Accent3 2 2" xfId="172"/>
    <cellStyle name="20% - Accent3 3" xfId="173"/>
    <cellStyle name="20% - Accent3 4" xfId="89"/>
    <cellStyle name="20% - Accent3 5" xfId="42"/>
    <cellStyle name="20% - Accent4 2" xfId="142"/>
    <cellStyle name="20% - Accent4 2 2" xfId="174"/>
    <cellStyle name="20% - Accent4 3" xfId="175"/>
    <cellStyle name="20% - Accent4 4" xfId="93"/>
    <cellStyle name="20% - Accent4 5" xfId="46"/>
    <cellStyle name="20% - Accent5 2" xfId="146"/>
    <cellStyle name="20% - Accent5 2 2" xfId="176"/>
    <cellStyle name="20% - Accent5 3" xfId="177"/>
    <cellStyle name="20% - Accent5 4" xfId="97"/>
    <cellStyle name="20% - Accent5 5" xfId="50"/>
    <cellStyle name="20% - Accent6 2" xfId="150"/>
    <cellStyle name="20% - Accent6 2 2" xfId="178"/>
    <cellStyle name="20% - Accent6 3" xfId="179"/>
    <cellStyle name="20% - Accent6 4" xfId="101"/>
    <cellStyle name="20% - Accent6 5" xfId="54"/>
    <cellStyle name="3dp" xfId="180"/>
    <cellStyle name="3dp 2" xfId="181"/>
    <cellStyle name="40% - Accent1 2" xfId="131"/>
    <cellStyle name="40% - Accent1 2 2" xfId="182"/>
    <cellStyle name="40% - Accent1 3" xfId="183"/>
    <cellStyle name="40% - Accent1 4" xfId="82"/>
    <cellStyle name="40% - Accent1 5" xfId="35"/>
    <cellStyle name="40% - Accent2 2" xfId="135"/>
    <cellStyle name="40% - Accent2 2 2" xfId="184"/>
    <cellStyle name="40% - Accent2 3" xfId="185"/>
    <cellStyle name="40% - Accent2 4" xfId="86"/>
    <cellStyle name="40% - Accent2 5" xfId="39"/>
    <cellStyle name="40% - Accent3 2" xfId="139"/>
    <cellStyle name="40% - Accent3 2 2" xfId="186"/>
    <cellStyle name="40% - Accent3 3" xfId="187"/>
    <cellStyle name="40% - Accent3 4" xfId="90"/>
    <cellStyle name="40% - Accent3 5" xfId="43"/>
    <cellStyle name="40% - Accent4 2" xfId="143"/>
    <cellStyle name="40% - Accent4 2 2" xfId="188"/>
    <cellStyle name="40% - Accent4 3" xfId="189"/>
    <cellStyle name="40% - Accent4 4" xfId="94"/>
    <cellStyle name="40% - Accent4 5" xfId="47"/>
    <cellStyle name="40% - Accent5 2" xfId="147"/>
    <cellStyle name="40% - Accent5 2 2" xfId="190"/>
    <cellStyle name="40% - Accent5 3" xfId="191"/>
    <cellStyle name="40% - Accent5 4" xfId="98"/>
    <cellStyle name="40% - Accent5 5" xfId="51"/>
    <cellStyle name="40% - Accent6 2" xfId="151"/>
    <cellStyle name="40% - Accent6 2 2" xfId="192"/>
    <cellStyle name="40% - Accent6 3" xfId="193"/>
    <cellStyle name="40% - Accent6 4" xfId="102"/>
    <cellStyle name="40% - Accent6 5" xfId="55"/>
    <cellStyle name="4dp" xfId="194"/>
    <cellStyle name="4dp 2" xfId="195"/>
    <cellStyle name="60% - Accent1 2" xfId="132"/>
    <cellStyle name="60% - Accent1 2 2" xfId="196"/>
    <cellStyle name="60% - Accent1 3" xfId="197"/>
    <cellStyle name="60% - Accent1 4" xfId="83"/>
    <cellStyle name="60% - Accent1 5" xfId="36"/>
    <cellStyle name="60% - Accent2 2" xfId="136"/>
    <cellStyle name="60% - Accent2 2 2" xfId="198"/>
    <cellStyle name="60% - Accent2 3" xfId="199"/>
    <cellStyle name="60% - Accent2 4" xfId="87"/>
    <cellStyle name="60% - Accent2 5" xfId="40"/>
    <cellStyle name="60% - Accent3 2" xfId="140"/>
    <cellStyle name="60% - Accent3 2 2" xfId="200"/>
    <cellStyle name="60% - Accent3 3" xfId="201"/>
    <cellStyle name="60% - Accent3 4" xfId="91"/>
    <cellStyle name="60% - Accent3 5" xfId="44"/>
    <cellStyle name="60% - Accent4 2" xfId="144"/>
    <cellStyle name="60% - Accent4 2 2" xfId="202"/>
    <cellStyle name="60% - Accent4 3" xfId="203"/>
    <cellStyle name="60% - Accent4 4" xfId="95"/>
    <cellStyle name="60% - Accent4 5" xfId="48"/>
    <cellStyle name="60% - Accent5 2" xfId="148"/>
    <cellStyle name="60% - Accent5 2 2" xfId="204"/>
    <cellStyle name="60% - Accent5 3" xfId="205"/>
    <cellStyle name="60% - Accent5 4" xfId="99"/>
    <cellStyle name="60% - Accent5 5" xfId="52"/>
    <cellStyle name="60% - Accent6 2" xfId="152"/>
    <cellStyle name="60% - Accent6 2 2" xfId="206"/>
    <cellStyle name="60% - Accent6 3" xfId="207"/>
    <cellStyle name="60% - Accent6 4" xfId="103"/>
    <cellStyle name="60% - Accent6 5" xfId="56"/>
    <cellStyle name="Accent1 2" xfId="129"/>
    <cellStyle name="Accent1 2 2" xfId="208"/>
    <cellStyle name="Accent1 3" xfId="209"/>
    <cellStyle name="Accent1 4" xfId="80"/>
    <cellStyle name="Accent1 5" xfId="33"/>
    <cellStyle name="Accent2 2" xfId="133"/>
    <cellStyle name="Accent2 2 2" xfId="210"/>
    <cellStyle name="Accent2 3" xfId="211"/>
    <cellStyle name="Accent2 4" xfId="84"/>
    <cellStyle name="Accent2 5" xfId="37"/>
    <cellStyle name="Accent3 2" xfId="137"/>
    <cellStyle name="Accent3 2 2" xfId="212"/>
    <cellStyle name="Accent3 3" xfId="213"/>
    <cellStyle name="Accent3 4" xfId="88"/>
    <cellStyle name="Accent3 5" xfId="41"/>
    <cellStyle name="Accent4 2" xfId="141"/>
    <cellStyle name="Accent4 2 2" xfId="214"/>
    <cellStyle name="Accent4 3" xfId="215"/>
    <cellStyle name="Accent4 4" xfId="92"/>
    <cellStyle name="Accent4 5" xfId="45"/>
    <cellStyle name="Accent5 2" xfId="145"/>
    <cellStyle name="Accent5 2 2" xfId="216"/>
    <cellStyle name="Accent5 3" xfId="217"/>
    <cellStyle name="Accent5 4" xfId="96"/>
    <cellStyle name="Accent5 5" xfId="49"/>
    <cellStyle name="Accent6 2" xfId="149"/>
    <cellStyle name="Accent6 2 2" xfId="218"/>
    <cellStyle name="Accent6 3" xfId="219"/>
    <cellStyle name="Accent6 4" xfId="100"/>
    <cellStyle name="Accent6 5" xfId="53"/>
    <cellStyle name="ANCLAS,REZONES Y SUS PARTES,DE FUNDICION,DE HIERRO O DE ACERO" xfId="220"/>
    <cellStyle name="avt31l" xfId="221"/>
    <cellStyle name="Bad 2" xfId="119"/>
    <cellStyle name="Bad 2 2" xfId="222"/>
    <cellStyle name="Bad 3" xfId="223"/>
    <cellStyle name="Bad 4" xfId="69"/>
    <cellStyle name="Bad 5" xfId="23"/>
    <cellStyle name="Bid £m format" xfId="224"/>
    <cellStyle name="Calculation 2" xfId="123"/>
    <cellStyle name="Calculation 2 2" xfId="225"/>
    <cellStyle name="Calculation 3" xfId="226"/>
    <cellStyle name="Calculation 4" xfId="73"/>
    <cellStyle name="Calculation 5" xfId="27"/>
    <cellStyle name="CellBACode" xfId="227"/>
    <cellStyle name="CellBAName" xfId="228"/>
    <cellStyle name="CellBAValue" xfId="229"/>
    <cellStyle name="CellBAValue 2" xfId="230"/>
    <cellStyle name="CellMCCode" xfId="231"/>
    <cellStyle name="CellMCName" xfId="232"/>
    <cellStyle name="CellMCValue" xfId="233"/>
    <cellStyle name="CellNationCode" xfId="234"/>
    <cellStyle name="CellNationName" xfId="235"/>
    <cellStyle name="CellNationSubCode" xfId="236"/>
    <cellStyle name="CellNationSubName" xfId="237"/>
    <cellStyle name="CellNationSubValue" xfId="238"/>
    <cellStyle name="CellNationValue" xfId="239"/>
    <cellStyle name="CellNormal" xfId="240"/>
    <cellStyle name="CellRegionCode" xfId="241"/>
    <cellStyle name="CellRegionName" xfId="242"/>
    <cellStyle name="CellRegionValue" xfId="243"/>
    <cellStyle name="CellUACode" xfId="244"/>
    <cellStyle name="CellUAName" xfId="245"/>
    <cellStyle name="CellUAValue" xfId="246"/>
    <cellStyle name="CellUAValue 2" xfId="247"/>
    <cellStyle name="Check Cell 2" xfId="125"/>
    <cellStyle name="Check Cell 2 2" xfId="248"/>
    <cellStyle name="Check Cell 3" xfId="249"/>
    <cellStyle name="Check Cell 4" xfId="75"/>
    <cellStyle name="Check Cell 5" xfId="29"/>
    <cellStyle name="CIL" xfId="250"/>
    <cellStyle name="CIU" xfId="251"/>
    <cellStyle name="Comma" xfId="1" builtinId="3"/>
    <cellStyle name="Comma 10" xfId="252"/>
    <cellStyle name="Comma 11" xfId="253"/>
    <cellStyle name="Comma 11 2" xfId="254"/>
    <cellStyle name="Comma 11 3" xfId="255"/>
    <cellStyle name="Comma 12" xfId="256"/>
    <cellStyle name="Comma 12 2" xfId="257"/>
    <cellStyle name="Comma 13" xfId="258"/>
    <cellStyle name="Comma 14" xfId="259"/>
    <cellStyle name="Comma 15" xfId="260"/>
    <cellStyle name="Comma 16" xfId="261"/>
    <cellStyle name="Comma 17" xfId="262"/>
    <cellStyle name="Comma 18" xfId="263"/>
    <cellStyle name="Comma 19" xfId="264"/>
    <cellStyle name="Comma 2" xfId="105"/>
    <cellStyle name="Comma 2 2" xfId="266"/>
    <cellStyle name="Comma 2 3" xfId="267"/>
    <cellStyle name="Comma 2 3 2" xfId="268"/>
    <cellStyle name="Comma 2 4" xfId="269"/>
    <cellStyle name="Comma 2 5" xfId="265"/>
    <cellStyle name="Comma 20" xfId="270"/>
    <cellStyle name="Comma 21" xfId="271"/>
    <cellStyle name="Comma 22" xfId="62"/>
    <cellStyle name="Comma 23" xfId="4"/>
    <cellStyle name="Comma 3" xfId="272"/>
    <cellStyle name="Comma 3 2" xfId="273"/>
    <cellStyle name="Comma 3 3" xfId="274"/>
    <cellStyle name="Comma 4" xfId="275"/>
    <cellStyle name="Comma 4 2" xfId="276"/>
    <cellStyle name="Comma 5" xfId="277"/>
    <cellStyle name="Comma 6" xfId="278"/>
    <cellStyle name="Comma 7" xfId="279"/>
    <cellStyle name="Comma 8" xfId="280"/>
    <cellStyle name="Comma 9" xfId="281"/>
    <cellStyle name="Currency 2" xfId="12"/>
    <cellStyle name="Currency 2 2" xfId="283"/>
    <cellStyle name="Currency 2 3" xfId="282"/>
    <cellStyle name="Currency 2 4" xfId="111"/>
    <cellStyle name="Currency 3" xfId="106"/>
    <cellStyle name="Currency 3 2" xfId="285"/>
    <cellStyle name="Currency 3 3" xfId="284"/>
    <cellStyle name="Currency 4" xfId="286"/>
    <cellStyle name="Currency 5" xfId="5"/>
    <cellStyle name="Description" xfId="287"/>
    <cellStyle name="Euro" xfId="288"/>
    <cellStyle name="Explanatory Text 2" xfId="127"/>
    <cellStyle name="Explanatory Text 2 2" xfId="289"/>
    <cellStyle name="Explanatory Text 3" xfId="290"/>
    <cellStyle name="Explanatory Text 4" xfId="78"/>
    <cellStyle name="Explanatory Text 5" xfId="31"/>
    <cellStyle name="Flash" xfId="291"/>
    <cellStyle name="footnote ref" xfId="292"/>
    <cellStyle name="footnote text" xfId="293"/>
    <cellStyle name="General" xfId="294"/>
    <cellStyle name="General 2" xfId="295"/>
    <cellStyle name="Good 2" xfId="118"/>
    <cellStyle name="Good 2 2" xfId="296"/>
    <cellStyle name="Good 3" xfId="297"/>
    <cellStyle name="Good 4" xfId="68"/>
    <cellStyle name="Good 5" xfId="22"/>
    <cellStyle name="Grey" xfId="298"/>
    <cellStyle name="HeaderLabel" xfId="299"/>
    <cellStyle name="Headers" xfId="300"/>
    <cellStyle name="HeaderText" xfId="301"/>
    <cellStyle name="Heading 1 2" xfId="114"/>
    <cellStyle name="Heading 1 2 2" xfId="303"/>
    <cellStyle name="Heading 1 2 3" xfId="302"/>
    <cellStyle name="Heading 1 2_asset sales" xfId="304"/>
    <cellStyle name="Heading 1 3" xfId="305"/>
    <cellStyle name="Heading 1 4" xfId="306"/>
    <cellStyle name="Heading 1 5" xfId="64"/>
    <cellStyle name="Heading 1 6" xfId="18"/>
    <cellStyle name="Heading 2 2" xfId="115"/>
    <cellStyle name="Heading 2 2 2" xfId="307"/>
    <cellStyle name="Heading 2 3" xfId="308"/>
    <cellStyle name="Heading 2 4" xfId="65"/>
    <cellStyle name="Heading 2 5" xfId="19"/>
    <cellStyle name="Heading 3 2" xfId="116"/>
    <cellStyle name="Heading 3 2 2" xfId="309"/>
    <cellStyle name="Heading 3 3" xfId="310"/>
    <cellStyle name="Heading 3 4" xfId="66"/>
    <cellStyle name="Heading 3 5" xfId="20"/>
    <cellStyle name="Heading 4 2" xfId="117"/>
    <cellStyle name="Heading 4 2 2" xfId="311"/>
    <cellStyle name="Heading 4 3" xfId="312"/>
    <cellStyle name="Heading 4 4" xfId="67"/>
    <cellStyle name="Heading 4 5" xfId="21"/>
    <cellStyle name="Heading 5" xfId="313"/>
    <cellStyle name="Heading 6" xfId="314"/>
    <cellStyle name="Heading 7" xfId="315"/>
    <cellStyle name="Heading 8" xfId="316"/>
    <cellStyle name="Hyperlink" xfId="157"/>
    <cellStyle name="Hyperlink 2" xfId="317"/>
    <cellStyle name="Hyperlink 2 2" xfId="318"/>
    <cellStyle name="Hyperlink 3" xfId="319"/>
    <cellStyle name="Hyperlink 4" xfId="320"/>
    <cellStyle name="Hyperlink 4 2" xfId="321"/>
    <cellStyle name="Hyperlink 4 3" xfId="322"/>
    <cellStyle name="Hyperlink 5" xfId="323"/>
    <cellStyle name="Hyperlink 6" xfId="324"/>
    <cellStyle name="Hyperlink 7" xfId="325"/>
    <cellStyle name="Hyperlink 8" xfId="326"/>
    <cellStyle name="Hyperlink 9" xfId="621"/>
    <cellStyle name="Hyperlink_Table 1.1" xfId="327"/>
    <cellStyle name="Information" xfId="328"/>
    <cellStyle name="Input [yellow]" xfId="329"/>
    <cellStyle name="Input 10" xfId="330"/>
    <cellStyle name="Input 11" xfId="331"/>
    <cellStyle name="Input 12" xfId="332"/>
    <cellStyle name="Input 13" xfId="333"/>
    <cellStyle name="Input 14" xfId="334"/>
    <cellStyle name="Input 15" xfId="335"/>
    <cellStyle name="Input 16" xfId="336"/>
    <cellStyle name="Input 17" xfId="337"/>
    <cellStyle name="Input 18" xfId="338"/>
    <cellStyle name="Input 19" xfId="339"/>
    <cellStyle name="Input 2" xfId="121"/>
    <cellStyle name="Input 2 2" xfId="340"/>
    <cellStyle name="Input 20" xfId="71"/>
    <cellStyle name="Input 21" xfId="616"/>
    <cellStyle name="Input 22" xfId="618"/>
    <cellStyle name="Input 23" xfId="617"/>
    <cellStyle name="Input 24" xfId="25"/>
    <cellStyle name="Input 3" xfId="341"/>
    <cellStyle name="Input 4" xfId="342"/>
    <cellStyle name="Input 5" xfId="343"/>
    <cellStyle name="Input 6" xfId="344"/>
    <cellStyle name="Input 7" xfId="345"/>
    <cellStyle name="Input 8" xfId="346"/>
    <cellStyle name="Input 9" xfId="347"/>
    <cellStyle name="LabelIntersect" xfId="348"/>
    <cellStyle name="LabelLeft" xfId="349"/>
    <cellStyle name="LabelTop" xfId="350"/>
    <cellStyle name="Linked Cell 2" xfId="124"/>
    <cellStyle name="Linked Cell 2 2" xfId="351"/>
    <cellStyle name="Linked Cell 3" xfId="352"/>
    <cellStyle name="Linked Cell 4" xfId="74"/>
    <cellStyle name="Linked Cell 5" xfId="28"/>
    <cellStyle name="Mik" xfId="353"/>
    <cellStyle name="Mik 2" xfId="354"/>
    <cellStyle name="Mik_For fiscal tables" xfId="355"/>
    <cellStyle name="N" xfId="356"/>
    <cellStyle name="N 2" xfId="357"/>
    <cellStyle name="Neutral 2" xfId="120"/>
    <cellStyle name="Neutral 2 2" xfId="358"/>
    <cellStyle name="Neutral 3" xfId="359"/>
    <cellStyle name="Neutral 4" xfId="70"/>
    <cellStyle name="Neutral 5" xfId="24"/>
    <cellStyle name="Normal" xfId="0" builtinId="0"/>
    <cellStyle name="Normal - Style1" xfId="360"/>
    <cellStyle name="Normal - Style2" xfId="361"/>
    <cellStyle name="Normal - Style3" xfId="362"/>
    <cellStyle name="Normal - Style4" xfId="363"/>
    <cellStyle name="Normal - Style5" xfId="364"/>
    <cellStyle name="Normal 10" xfId="365"/>
    <cellStyle name="Normal 100" xfId="366"/>
    <cellStyle name="Normal 101" xfId="367"/>
    <cellStyle name="Normal 102" xfId="368"/>
    <cellStyle name="Normal 103" xfId="369"/>
    <cellStyle name="Normal 104" xfId="370"/>
    <cellStyle name="Normal 105" xfId="371"/>
    <cellStyle name="Normal 106" xfId="372"/>
    <cellStyle name="Normal 107" xfId="373"/>
    <cellStyle name="Normal 108" xfId="374"/>
    <cellStyle name="Normal 11" xfId="375"/>
    <cellStyle name="Normal 12" xfId="376"/>
    <cellStyle name="Normal 13" xfId="377"/>
    <cellStyle name="Normal 13 2" xfId="378"/>
    <cellStyle name="Normal 14" xfId="379"/>
    <cellStyle name="Normal 15" xfId="380"/>
    <cellStyle name="Normal 15 2" xfId="381"/>
    <cellStyle name="Normal 16" xfId="382"/>
    <cellStyle name="Normal 17" xfId="383"/>
    <cellStyle name="Normal 18" xfId="384"/>
    <cellStyle name="Normal 18 2" xfId="385"/>
    <cellStyle name="Normal 19" xfId="386"/>
    <cellStyle name="Normal 2" xfId="6"/>
    <cellStyle name="Normal 2 2" xfId="15"/>
    <cellStyle name="Normal 2 2 2" xfId="389"/>
    <cellStyle name="Normal 2 2 3" xfId="390"/>
    <cellStyle name="Normal 2 2 4" xfId="391"/>
    <cellStyle name="Normal 2 2 5" xfId="388"/>
    <cellStyle name="Normal 2 2 6" xfId="113"/>
    <cellStyle name="Normal 2 3" xfId="59"/>
    <cellStyle name="Normal 2 3 2" xfId="392"/>
    <cellStyle name="Normal 2 3 3" xfId="155"/>
    <cellStyle name="Normal 2 4" xfId="393"/>
    <cellStyle name="Normal 2 5" xfId="394"/>
    <cellStyle name="Normal 2 6" xfId="158"/>
    <cellStyle name="Normal 2 7" xfId="395"/>
    <cellStyle name="Normal 2 8" xfId="396"/>
    <cellStyle name="Normal 2 9" xfId="387"/>
    <cellStyle name="Normal 20" xfId="397"/>
    <cellStyle name="Normal 21" xfId="398"/>
    <cellStyle name="Normal 21 2" xfId="399"/>
    <cellStyle name="Normal 21_Copy of Fiscal Tables" xfId="400"/>
    <cellStyle name="Normal 22" xfId="401"/>
    <cellStyle name="Normal 22 2" xfId="402"/>
    <cellStyle name="Normal 22_Copy of Fiscal Tables" xfId="403"/>
    <cellStyle name="Normal 23" xfId="404"/>
    <cellStyle name="Normal 24" xfId="405"/>
    <cellStyle name="Normal 25" xfId="406"/>
    <cellStyle name="Normal 26" xfId="407"/>
    <cellStyle name="Normal 27" xfId="408"/>
    <cellStyle name="Normal 28" xfId="409"/>
    <cellStyle name="Normal 29" xfId="410"/>
    <cellStyle name="Normal 3" xfId="7"/>
    <cellStyle name="Normal 3 10" xfId="107"/>
    <cellStyle name="Normal 3 2" xfId="14"/>
    <cellStyle name="Normal 3 2 2" xfId="16"/>
    <cellStyle name="Normal 3 3" xfId="412"/>
    <cellStyle name="Normal 3 3 2" xfId="413"/>
    <cellStyle name="Normal 3 4" xfId="414"/>
    <cellStyle name="Normal 3 5" xfId="415"/>
    <cellStyle name="Normal 3 6" xfId="416"/>
    <cellStyle name="Normal 3 7" xfId="417"/>
    <cellStyle name="Normal 3 8" xfId="418"/>
    <cellStyle name="Normal 3 9" xfId="411"/>
    <cellStyle name="Normal 3_asset sales" xfId="419"/>
    <cellStyle name="Normal 30" xfId="420"/>
    <cellStyle name="Normal 31" xfId="421"/>
    <cellStyle name="Normal 32" xfId="422"/>
    <cellStyle name="Normal 33" xfId="423"/>
    <cellStyle name="Normal 34" xfId="424"/>
    <cellStyle name="Normal 35" xfId="425"/>
    <cellStyle name="Normal 36" xfId="426"/>
    <cellStyle name="Normal 37" xfId="427"/>
    <cellStyle name="Normal 38" xfId="428"/>
    <cellStyle name="Normal 39" xfId="429"/>
    <cellStyle name="Normal 4" xfId="11"/>
    <cellStyle name="Normal 4 2" xfId="430"/>
    <cellStyle name="Normal 4 3" xfId="110"/>
    <cellStyle name="Normal 40" xfId="431"/>
    <cellStyle name="Normal 41" xfId="432"/>
    <cellStyle name="Normal 42" xfId="433"/>
    <cellStyle name="Normal 43" xfId="434"/>
    <cellStyle name="Normal 44" xfId="435"/>
    <cellStyle name="Normal 45" xfId="436"/>
    <cellStyle name="Normal 46" xfId="437"/>
    <cellStyle name="Normal 47" xfId="438"/>
    <cellStyle name="Normal 48" xfId="439"/>
    <cellStyle name="Normal 49" xfId="440"/>
    <cellStyle name="Normal 5" xfId="13"/>
    <cellStyle name="Normal 5 2" xfId="442"/>
    <cellStyle name="Normal 5 3" xfId="441"/>
    <cellStyle name="Normal 5 4" xfId="112"/>
    <cellStyle name="Normal 50" xfId="443"/>
    <cellStyle name="Normal 51" xfId="444"/>
    <cellStyle name="Normal 52" xfId="445"/>
    <cellStyle name="Normal 53" xfId="446"/>
    <cellStyle name="Normal 54" xfId="447"/>
    <cellStyle name="Normal 55" xfId="448"/>
    <cellStyle name="Normal 56" xfId="449"/>
    <cellStyle name="Normal 57" xfId="450"/>
    <cellStyle name="Normal 58" xfId="451"/>
    <cellStyle name="Normal 59" xfId="452"/>
    <cellStyle name="Normal 6" xfId="17"/>
    <cellStyle name="Normal 6 2" xfId="454"/>
    <cellStyle name="Normal 6 3" xfId="453"/>
    <cellStyle name="Normal 60" xfId="455"/>
    <cellStyle name="Normal 61" xfId="456"/>
    <cellStyle name="Normal 62" xfId="457"/>
    <cellStyle name="Normal 63" xfId="458"/>
    <cellStyle name="Normal 64" xfId="459"/>
    <cellStyle name="Normal 65" xfId="460"/>
    <cellStyle name="Normal 66" xfId="615"/>
    <cellStyle name="Normal 67" xfId="61"/>
    <cellStyle name="Normal 68" xfId="63"/>
    <cellStyle name="Normal 69" xfId="619"/>
    <cellStyle name="Normal 7" xfId="57"/>
    <cellStyle name="Normal 7 2" xfId="462"/>
    <cellStyle name="Normal 7 3" xfId="461"/>
    <cellStyle name="Normal 7 4" xfId="153"/>
    <cellStyle name="Normal 70" xfId="620"/>
    <cellStyle name="Normal 71" xfId="3"/>
    <cellStyle name="Normal 8" xfId="58"/>
    <cellStyle name="Normal 8 2" xfId="463"/>
    <cellStyle name="Normal 8 3" xfId="154"/>
    <cellStyle name="Normal 9" xfId="104"/>
    <cellStyle name="Normal 9 2" xfId="464"/>
    <cellStyle name="Normal10" xfId="8"/>
    <cellStyle name="Note 2" xfId="60"/>
    <cellStyle name="Note 2 2" xfId="465"/>
    <cellStyle name="Note 2 3" xfId="156"/>
    <cellStyle name="Note 3" xfId="466"/>
    <cellStyle name="Note 4" xfId="77"/>
    <cellStyle name="Output 2" xfId="122"/>
    <cellStyle name="Output 2 2" xfId="467"/>
    <cellStyle name="Output 3" xfId="468"/>
    <cellStyle name="Output 4" xfId="72"/>
    <cellStyle name="Output 5" xfId="26"/>
    <cellStyle name="Output Amounts" xfId="469"/>
    <cellStyle name="Output Column Headings" xfId="470"/>
    <cellStyle name="Output Line Items" xfId="471"/>
    <cellStyle name="Output Report Heading" xfId="472"/>
    <cellStyle name="Output Report Title" xfId="473"/>
    <cellStyle name="P" xfId="474"/>
    <cellStyle name="P 2" xfId="475"/>
    <cellStyle name="Percent [2]" xfId="476"/>
    <cellStyle name="Percent 10" xfId="477"/>
    <cellStyle name="Percent 11" xfId="9"/>
    <cellStyle name="Percent 2" xfId="10"/>
    <cellStyle name="Percent 2 2" xfId="478"/>
    <cellStyle name="Percent 2 3" xfId="479"/>
    <cellStyle name="Percent 2 4" xfId="480"/>
    <cellStyle name="Percent 2 5" xfId="159"/>
    <cellStyle name="Percent 2 6" xfId="109"/>
    <cellStyle name="Percent 3" xfId="108"/>
    <cellStyle name="Percent 3 2" xfId="482"/>
    <cellStyle name="Percent 3 3" xfId="481"/>
    <cellStyle name="Percent 4" xfId="483"/>
    <cellStyle name="Percent 4 2" xfId="484"/>
    <cellStyle name="Percent 5" xfId="485"/>
    <cellStyle name="Percent 5 2" xfId="486"/>
    <cellStyle name="Percent 5 3" xfId="487"/>
    <cellStyle name="Percent 6" xfId="488"/>
    <cellStyle name="Percent 7" xfId="489"/>
    <cellStyle name="Percent 7 2" xfId="490"/>
    <cellStyle name="Percent 8" xfId="491"/>
    <cellStyle name="Percent 9" xfId="492"/>
    <cellStyle name="Refdb standard" xfId="493"/>
    <cellStyle name="ReportData" xfId="494"/>
    <cellStyle name="ReportElements" xfId="495"/>
    <cellStyle name="ReportHeader" xfId="496"/>
    <cellStyle name="Row_Headings" xfId="497"/>
    <cellStyle name="SAPBEXaggData" xfId="498"/>
    <cellStyle name="SAPBEXaggDataEmph" xfId="499"/>
    <cellStyle name="SAPBEXaggItem" xfId="500"/>
    <cellStyle name="SAPBEXaggItemX" xfId="501"/>
    <cellStyle name="SAPBEXchaText" xfId="502"/>
    <cellStyle name="SAPBEXexcBad7" xfId="503"/>
    <cellStyle name="SAPBEXexcBad8" xfId="504"/>
    <cellStyle name="SAPBEXexcBad9" xfId="505"/>
    <cellStyle name="SAPBEXexcCritical4" xfId="506"/>
    <cellStyle name="SAPBEXexcCritical5" xfId="507"/>
    <cellStyle name="SAPBEXexcCritical6" xfId="508"/>
    <cellStyle name="SAPBEXexcGood1" xfId="509"/>
    <cellStyle name="SAPBEXexcGood2" xfId="510"/>
    <cellStyle name="SAPBEXexcGood3" xfId="511"/>
    <cellStyle name="SAPBEXfilterDrill" xfId="512"/>
    <cellStyle name="SAPBEXfilterItem" xfId="513"/>
    <cellStyle name="SAPBEXfilterText" xfId="514"/>
    <cellStyle name="SAPBEXformats" xfId="515"/>
    <cellStyle name="SAPBEXheaderItem" xfId="516"/>
    <cellStyle name="SAPBEXheaderText" xfId="517"/>
    <cellStyle name="SAPBEXHLevel0" xfId="518"/>
    <cellStyle name="SAPBEXHLevel0X" xfId="519"/>
    <cellStyle name="SAPBEXHLevel1" xfId="520"/>
    <cellStyle name="SAPBEXHLevel1X" xfId="521"/>
    <cellStyle name="SAPBEXHLevel2" xfId="522"/>
    <cellStyle name="SAPBEXHLevel2X" xfId="523"/>
    <cellStyle name="SAPBEXHLevel3" xfId="524"/>
    <cellStyle name="SAPBEXHLevel3X" xfId="525"/>
    <cellStyle name="SAPBEXresData" xfId="526"/>
    <cellStyle name="SAPBEXresDataEmph" xfId="527"/>
    <cellStyle name="SAPBEXresItem" xfId="528"/>
    <cellStyle name="SAPBEXresItemX" xfId="529"/>
    <cellStyle name="SAPBEXstdData" xfId="530"/>
    <cellStyle name="SAPBEXstdDataEmph" xfId="531"/>
    <cellStyle name="SAPBEXstdItem" xfId="532"/>
    <cellStyle name="SAPBEXstdItemX" xfId="533"/>
    <cellStyle name="SAPBEXtitle" xfId="534"/>
    <cellStyle name="SAPBEXundefined" xfId="535"/>
    <cellStyle name="Style 1" xfId="536"/>
    <cellStyle name="Style1" xfId="537"/>
    <cellStyle name="Style1 2" xfId="538"/>
    <cellStyle name="Style2" xfId="539"/>
    <cellStyle name="Style3" xfId="540"/>
    <cellStyle name="Style4" xfId="541"/>
    <cellStyle name="Style5" xfId="542"/>
    <cellStyle name="Style6" xfId="543"/>
    <cellStyle name="Sub-headers" xfId="544"/>
    <cellStyle name="Table Cells" xfId="545"/>
    <cellStyle name="Table Cells 2" xfId="546"/>
    <cellStyle name="Table Column Headings" xfId="547"/>
    <cellStyle name="Table Footnote" xfId="548"/>
    <cellStyle name="Table Footnote 2" xfId="549"/>
    <cellStyle name="Table Footnote 2 2" xfId="550"/>
    <cellStyle name="Table Footnote_Table 5.6 sales of assets 23Feb2010" xfId="551"/>
    <cellStyle name="Table Header" xfId="552"/>
    <cellStyle name="Table Header 2" xfId="553"/>
    <cellStyle name="Table Header 2 2" xfId="554"/>
    <cellStyle name="Table Header_Table 5.6 sales of assets 23Feb2010" xfId="555"/>
    <cellStyle name="Table Heading 1" xfId="556"/>
    <cellStyle name="Table Heading 1 2" xfId="557"/>
    <cellStyle name="Table Heading 1 2 2" xfId="558"/>
    <cellStyle name="Table Heading 1_Table 5.6 sales of assets 23Feb2010" xfId="559"/>
    <cellStyle name="Table Heading 2" xfId="560"/>
    <cellStyle name="Table Heading 2 2" xfId="561"/>
    <cellStyle name="Table Heading 2_Table 5.6 sales of assets 23Feb2010" xfId="562"/>
    <cellStyle name="Table Number" xfId="563"/>
    <cellStyle name="Table Of Which" xfId="564"/>
    <cellStyle name="Table Of Which 2" xfId="565"/>
    <cellStyle name="Table Of Which_Table 5.6 sales of assets 23Feb2010" xfId="566"/>
    <cellStyle name="Table Row Billions" xfId="567"/>
    <cellStyle name="Table Row Billions 2" xfId="568"/>
    <cellStyle name="Table Row Billions Check" xfId="569"/>
    <cellStyle name="Table Row Billions Check 2" xfId="570"/>
    <cellStyle name="Table Row Billions Check 3" xfId="571"/>
    <cellStyle name="Table Row Billions Check_asset sales" xfId="572"/>
    <cellStyle name="Table Row Billions_Table 5.6 sales of assets 23Feb2010" xfId="573"/>
    <cellStyle name="Table Row Headings" xfId="574"/>
    <cellStyle name="Table Row Millions" xfId="575"/>
    <cellStyle name="Table Row Millions 2" xfId="576"/>
    <cellStyle name="Table Row Millions 2 2" xfId="577"/>
    <cellStyle name="Table Row Millions Check" xfId="578"/>
    <cellStyle name="Table Row Millions Check 2" xfId="579"/>
    <cellStyle name="Table Row Millions Check 3" xfId="580"/>
    <cellStyle name="Table Row Millions Check 4" xfId="581"/>
    <cellStyle name="Table Row Millions Check_asset sales" xfId="582"/>
    <cellStyle name="Table Row Millions_Table 5.6 sales of assets 23Feb2010" xfId="583"/>
    <cellStyle name="Table Row Percentage" xfId="584"/>
    <cellStyle name="Table Row Percentage 2" xfId="585"/>
    <cellStyle name="Table Row Percentage Check" xfId="586"/>
    <cellStyle name="Table Row Percentage Check 2" xfId="587"/>
    <cellStyle name="Table Row Percentage Check 3" xfId="588"/>
    <cellStyle name="Table Row Percentage Check_asset sales" xfId="589"/>
    <cellStyle name="Table Row Percentage_Table 5.6 sales of assets 23Feb2010" xfId="590"/>
    <cellStyle name="Table Title" xfId="591"/>
    <cellStyle name="Table Total Billions" xfId="592"/>
    <cellStyle name="Table Total Billions 2" xfId="593"/>
    <cellStyle name="Table Total Billions_Table 5.6 sales of assets 23Feb2010" xfId="594"/>
    <cellStyle name="Table Total Millions" xfId="595"/>
    <cellStyle name="Table Total Millions 2" xfId="596"/>
    <cellStyle name="Table Total Millions 2 2" xfId="597"/>
    <cellStyle name="Table Total Millions_Table 5.6 sales of assets 23Feb2010" xfId="598"/>
    <cellStyle name="Table Total Percentage" xfId="599"/>
    <cellStyle name="Table Total Percentage 2" xfId="600"/>
    <cellStyle name="Table Total Percentage_Table 5.6 sales of assets 23Feb2010" xfId="601"/>
    <cellStyle name="Table Units" xfId="602"/>
    <cellStyle name="Table Units 2" xfId="603"/>
    <cellStyle name="Table Units 2 2" xfId="604"/>
    <cellStyle name="Table Units_Table 5.6 sales of assets 23Feb2010" xfId="605"/>
    <cellStyle name="Times New Roman" xfId="606"/>
    <cellStyle name="Title" xfId="2" builtinId="15" customBuiltin="1"/>
    <cellStyle name="Title 2" xfId="607"/>
    <cellStyle name="Title 3" xfId="608"/>
    <cellStyle name="Title 4" xfId="609"/>
    <cellStyle name="Total 2" xfId="128"/>
    <cellStyle name="Total 2 2" xfId="610"/>
    <cellStyle name="Total 3" xfId="611"/>
    <cellStyle name="Total 4" xfId="79"/>
    <cellStyle name="Total 5" xfId="32"/>
    <cellStyle name="Warning Text 2" xfId="126"/>
    <cellStyle name="Warning Text 2 2" xfId="612"/>
    <cellStyle name="Warning Text 3" xfId="613"/>
    <cellStyle name="Warning Text 4" xfId="76"/>
    <cellStyle name="Warning Text 5" xfId="30"/>
    <cellStyle name="whole number" xfId="614"/>
  </cellStyles>
  <dxfs count="20">
    <dxf>
      <fill>
        <patternFill>
          <bgColor theme="5" tint="0.59996337778862885"/>
        </patternFill>
      </fill>
    </dxf>
    <dxf>
      <fill>
        <patternFill>
          <bgColor theme="6"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6" tint="0.59996337778862885"/>
        </patternFill>
      </fill>
    </dxf>
    <dxf>
      <fill>
        <patternFill>
          <bgColor theme="5" tint="0.59996337778862885"/>
        </patternFill>
      </fill>
    </dxf>
    <dxf>
      <fill>
        <patternFill>
          <bgColor theme="6"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6"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6"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6" tint="0.59996337778862885"/>
        </patternFill>
      </fill>
    </dxf>
  </dxfs>
  <tableStyles count="0" defaultTableStyle="TableStyleMedium2" defaultPivotStyle="PivotStyleLight16"/>
  <colors>
    <mruColors>
      <color rgb="FF9DC3E6"/>
      <color rgb="FF2E75B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en-GB" sz="1400"/>
              <a:t>Angen Blynyddol o ran</a:t>
            </a:r>
            <a:r>
              <a:rPr lang="en-GB" sz="1400" baseline="0"/>
              <a:t> </a:t>
            </a:r>
            <a:r>
              <a:rPr lang="en-GB" sz="1400"/>
              <a:t>Rhaniad Deiliadaeth Tai - Rhagdybiaethau Defnyddwyr (Cymru)</a:t>
            </a:r>
          </a:p>
        </c:rich>
      </c:tx>
      <c:overlay val="0"/>
    </c:title>
    <c:autoTitleDeleted val="0"/>
    <c:plotArea>
      <c:layout/>
      <c:barChart>
        <c:barDir val="col"/>
        <c:grouping val="stacked"/>
        <c:varyColors val="0"/>
        <c:ser>
          <c:idx val="0"/>
          <c:order val="0"/>
          <c:tx>
            <c:strRef>
              <c:f>'Rhaniad y Ddeiliadaeth (Cymru)'!$B$93</c:f>
              <c:strCache>
                <c:ptCount val="1"/>
              </c:strCache>
            </c:strRef>
          </c:tx>
          <c:spPr>
            <a:solidFill>
              <a:schemeClr val="tx2">
                <a:lumMod val="75000"/>
              </a:schemeClr>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'Rhaniad y Ddeiliadaeth (Cymru)'!$C$92:$G$92</c:f>
            </c:multiLvlStrRef>
          </c:cat>
          <c:val>
            <c:numRef>
              <c:f>'Rhaniad y Ddeiliadaeth (Cymru)'!$C$93:$G$93</c:f>
              <c:numCache>
                <c:formatCode>_-* #,##0_-;\-* #,##0_-;_-* "-"??_-;_-@_-</c:formatCode>
                <c:ptCount val="5"/>
                <c:pt idx="0">
                  <c:v>0</c:v>
                </c:pt>
                <c:pt idx="1">
                  <c:v>0</c:v>
                </c:pt>
                <c:pt idx="2">
                  <c:v>0</c:v>
                </c:pt>
                <c:pt idx="3">
                  <c:v>0</c:v>
                </c:pt>
                <c:pt idx="4">
                  <c:v>0</c:v>
                </c:pt>
              </c:numCache>
            </c:numRef>
          </c:val>
          <c:extLst>
            <c:ext xmlns:c16="http://schemas.microsoft.com/office/drawing/2014/chart" uri="{C3380CC4-5D6E-409C-BE32-E72D297353CC}">
              <c16:uniqueId val="{00000000-C38B-4CEE-91F9-245E13712A54}"/>
            </c:ext>
          </c:extLst>
        </c:ser>
        <c:ser>
          <c:idx val="1"/>
          <c:order val="1"/>
          <c:tx>
            <c:strRef>
              <c:f>'Rhaniad y Ddeiliadaeth (Cymru)'!$B$94</c:f>
              <c:strCache>
                <c:ptCount val="1"/>
              </c:strCache>
            </c:strRef>
          </c:tx>
          <c:spPr>
            <a:solidFill>
              <a:schemeClr val="tx2">
                <a:lumMod val="60000"/>
                <a:lumOff val="40000"/>
              </a:schemeClr>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'Rhaniad y Ddeiliadaeth (Cymru)'!$C$92:$G$92</c:f>
            </c:multiLvlStrRef>
          </c:cat>
          <c:val>
            <c:numRef>
              <c:f>'Rhaniad y Ddeiliadaeth (Cymru)'!$C$94:$G$94</c:f>
              <c:numCache>
                <c:formatCode>_-* #,##0_-;\-* #,##0_-;_-* "-"??_-;_-@_-</c:formatCode>
                <c:ptCount val="5"/>
                <c:pt idx="0">
                  <c:v>0</c:v>
                </c:pt>
                <c:pt idx="1">
                  <c:v>0</c:v>
                </c:pt>
                <c:pt idx="2">
                  <c:v>0</c:v>
                </c:pt>
                <c:pt idx="3">
                  <c:v>0</c:v>
                </c:pt>
                <c:pt idx="4">
                  <c:v>0</c:v>
                </c:pt>
              </c:numCache>
            </c:numRef>
          </c:val>
          <c:extLst>
            <c:ext xmlns:c16="http://schemas.microsoft.com/office/drawing/2014/chart" uri="{C3380CC4-5D6E-409C-BE32-E72D297353CC}">
              <c16:uniqueId val="{00000001-C38B-4CEE-91F9-245E13712A54}"/>
            </c:ext>
          </c:extLst>
        </c:ser>
        <c:ser>
          <c:idx val="2"/>
          <c:order val="2"/>
          <c:tx>
            <c:strRef>
              <c:f>'Rhaniad y Ddeiliadaeth (Cymru)'!$B$95</c:f>
              <c:strCache>
                <c:ptCount val="1"/>
                <c:pt idx="0">
                  <c:v>  </c:v>
                </c:pt>
              </c:strCache>
            </c:strRef>
          </c:tx>
          <c:spPr>
            <a:solidFill>
              <a:schemeClr val="accent1">
                <a:lumMod val="60000"/>
                <a:lumOff val="40000"/>
              </a:schemeClr>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'Rhaniad y Ddeiliadaeth (Cymru)'!$C$92:$G$92</c:f>
            </c:multiLvlStrRef>
          </c:cat>
          <c:val>
            <c:numRef>
              <c:f>'Rhaniad y Ddeiliadaeth (Cymru)'!$C$95:$G$95</c:f>
              <c:numCache>
                <c:formatCode>_-* #,##0_-;\-* #,##0_-;_-* "-"??_-;_-@_-</c:formatCode>
                <c:ptCount val="5"/>
                <c:pt idx="0">
                  <c:v>0</c:v>
                </c:pt>
                <c:pt idx="1">
                  <c:v>0</c:v>
                </c:pt>
                <c:pt idx="2">
                  <c:v>0</c:v>
                </c:pt>
                <c:pt idx="3">
                  <c:v>0</c:v>
                </c:pt>
                <c:pt idx="4">
                  <c:v>0</c:v>
                </c:pt>
              </c:numCache>
            </c:numRef>
          </c:val>
          <c:extLst>
            <c:ext xmlns:c16="http://schemas.microsoft.com/office/drawing/2014/chart" uri="{C3380CC4-5D6E-409C-BE32-E72D297353CC}">
              <c16:uniqueId val="{00000002-C38B-4CEE-91F9-245E13712A54}"/>
            </c:ext>
          </c:extLst>
        </c:ser>
        <c:ser>
          <c:idx val="3"/>
          <c:order val="3"/>
          <c:tx>
            <c:strRef>
              <c:f>'Rhaniad y Ddeiliadaeth (Cymru)'!$B$96</c:f>
              <c:strCache>
                <c:ptCount val="1"/>
                <c:pt idx="0">
                  <c:v>  </c:v>
                </c:pt>
              </c:strCache>
            </c:strRef>
          </c:tx>
          <c:spPr>
            <a:solidFill>
              <a:schemeClr val="tx2">
                <a:lumMod val="20000"/>
                <a:lumOff val="80000"/>
              </a:schemeClr>
            </a:solidFill>
          </c:spPr>
          <c:invertIfNegative val="0"/>
          <c:dLbls>
            <c:dLbl>
              <c:idx val="4"/>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38B-4CEE-91F9-245E13712A54}"/>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'Rhaniad y Ddeiliadaeth (Cymru)'!$C$92:$G$92</c:f>
            </c:multiLvlStrRef>
          </c:cat>
          <c:val>
            <c:numRef>
              <c:f>'Rhaniad y Ddeiliadaeth (Cymru)'!$C$96:$G$96</c:f>
              <c:numCache>
                <c:formatCode>_-* #,##0_-;\-* #,##0_-;_-* "-"??_-;_-@_-</c:formatCode>
                <c:ptCount val="5"/>
                <c:pt idx="0">
                  <c:v>0</c:v>
                </c:pt>
                <c:pt idx="1">
                  <c:v>0</c:v>
                </c:pt>
                <c:pt idx="2">
                  <c:v>0</c:v>
                </c:pt>
                <c:pt idx="3">
                  <c:v>0</c:v>
                </c:pt>
                <c:pt idx="4">
                  <c:v>0</c:v>
                </c:pt>
              </c:numCache>
            </c:numRef>
          </c:val>
          <c:extLst>
            <c:ext xmlns:c16="http://schemas.microsoft.com/office/drawing/2014/chart" uri="{C3380CC4-5D6E-409C-BE32-E72D297353CC}">
              <c16:uniqueId val="{00000004-C38B-4CEE-91F9-245E13712A54}"/>
            </c:ext>
          </c:extLst>
        </c:ser>
        <c:dLbls>
          <c:showLegendKey val="0"/>
          <c:showVal val="0"/>
          <c:showCatName val="0"/>
          <c:showSerName val="0"/>
          <c:showPercent val="0"/>
          <c:showBubbleSize val="0"/>
        </c:dLbls>
        <c:gapWidth val="163"/>
        <c:overlap val="100"/>
        <c:axId val="248853248"/>
        <c:axId val="248855168"/>
      </c:barChart>
      <c:catAx>
        <c:axId val="248853248"/>
        <c:scaling>
          <c:orientation val="minMax"/>
        </c:scaling>
        <c:delete val="0"/>
        <c:axPos val="b"/>
        <c:numFmt formatCode="General" sourceLinked="1"/>
        <c:majorTickMark val="out"/>
        <c:minorTickMark val="none"/>
        <c:tickLblPos val="nextTo"/>
        <c:crossAx val="248855168"/>
        <c:crosses val="autoZero"/>
        <c:auto val="1"/>
        <c:lblAlgn val="ctr"/>
        <c:lblOffset val="100"/>
        <c:noMultiLvlLbl val="0"/>
      </c:catAx>
      <c:valAx>
        <c:axId val="248855168"/>
        <c:scaling>
          <c:orientation val="minMax"/>
          <c:max val="10000"/>
          <c:min val="0"/>
        </c:scaling>
        <c:delete val="0"/>
        <c:axPos val="l"/>
        <c:numFmt formatCode="#,##0" sourceLinked="0"/>
        <c:majorTickMark val="out"/>
        <c:minorTickMark val="none"/>
        <c:tickLblPos val="nextTo"/>
        <c:crossAx val="248853248"/>
        <c:crosses val="autoZero"/>
        <c:crossBetween val="between"/>
        <c:majorUnit val="2000"/>
      </c:valAx>
    </c:plotArea>
    <c:legend>
      <c:legendPos val="b"/>
      <c:overlay val="0"/>
    </c:legend>
    <c:plotVisOnly val="1"/>
    <c:dispBlanksAs val="gap"/>
    <c:showDLblsOverMax val="0"/>
  </c:chart>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en-GB" sz="1400" b="1" i="0" baseline="0">
                <a:effectLst/>
              </a:rPr>
              <a:t>Angen o ran Tai: Rhagdybiaethau Defnyddwyr ar gyfer Rhaniad Deiliadaeth 5 Mlynedd (Cymru) </a:t>
            </a:r>
            <a:endParaRPr lang="en-GB" sz="1400"/>
          </a:p>
        </c:rich>
      </c:tx>
      <c:overlay val="0"/>
    </c:title>
    <c:autoTitleDeleted val="0"/>
    <c:plotArea>
      <c:layout/>
      <c:pieChart>
        <c:varyColors val="1"/>
        <c:ser>
          <c:idx val="0"/>
          <c:order val="0"/>
          <c:dPt>
            <c:idx val="0"/>
            <c:bubble3D val="0"/>
            <c:spPr>
              <a:solidFill>
                <a:schemeClr val="tx2">
                  <a:lumMod val="75000"/>
                </a:schemeClr>
              </a:solidFill>
            </c:spPr>
            <c:extLst>
              <c:ext xmlns:c16="http://schemas.microsoft.com/office/drawing/2014/chart" uri="{C3380CC4-5D6E-409C-BE32-E72D297353CC}">
                <c16:uniqueId val="{00000001-3B63-4545-868A-9C4DC3FD8BB6}"/>
              </c:ext>
            </c:extLst>
          </c:dPt>
          <c:dPt>
            <c:idx val="1"/>
            <c:bubble3D val="0"/>
            <c:spPr>
              <a:solidFill>
                <a:schemeClr val="tx2">
                  <a:lumMod val="60000"/>
                  <a:lumOff val="40000"/>
                </a:schemeClr>
              </a:solidFill>
            </c:spPr>
            <c:extLst>
              <c:ext xmlns:c16="http://schemas.microsoft.com/office/drawing/2014/chart" uri="{C3380CC4-5D6E-409C-BE32-E72D297353CC}">
                <c16:uniqueId val="{00000003-3B63-4545-868A-9C4DC3FD8BB6}"/>
              </c:ext>
            </c:extLst>
          </c:dPt>
          <c:dPt>
            <c:idx val="2"/>
            <c:bubble3D val="0"/>
            <c:spPr>
              <a:solidFill>
                <a:schemeClr val="accent1">
                  <a:lumMod val="60000"/>
                  <a:lumOff val="40000"/>
                </a:schemeClr>
              </a:solidFill>
            </c:spPr>
            <c:extLst>
              <c:ext xmlns:c16="http://schemas.microsoft.com/office/drawing/2014/chart" uri="{C3380CC4-5D6E-409C-BE32-E72D297353CC}">
                <c16:uniqueId val="{00000005-3B63-4545-868A-9C4DC3FD8BB6}"/>
              </c:ext>
            </c:extLst>
          </c:dPt>
          <c:dPt>
            <c:idx val="3"/>
            <c:bubble3D val="0"/>
            <c:spPr>
              <a:solidFill>
                <a:schemeClr val="tx2">
                  <a:lumMod val="20000"/>
                  <a:lumOff val="80000"/>
                </a:schemeClr>
              </a:solidFill>
            </c:spPr>
            <c:extLst>
              <c:ext xmlns:c16="http://schemas.microsoft.com/office/drawing/2014/chart" uri="{C3380CC4-5D6E-409C-BE32-E72D297353CC}">
                <c16:uniqueId val="{00000007-3B63-4545-868A-9C4DC3FD8BB6}"/>
              </c:ext>
            </c:extLst>
          </c:dPt>
          <c:dLbls>
            <c:spPr>
              <a:noFill/>
              <a:ln>
                <a:noFill/>
              </a:ln>
              <a:effectLst/>
            </c:spPr>
            <c:dLblPos val="ctr"/>
            <c:showLegendKey val="0"/>
            <c:showVal val="1"/>
            <c:showCatName val="0"/>
            <c:showSerName val="0"/>
            <c:showPercent val="0"/>
            <c:showBubbleSize val="0"/>
            <c:showLeaderLines val="1"/>
            <c:extLst>
              <c:ext xmlns:c15="http://schemas.microsoft.com/office/drawing/2012/chart" uri="{CE6537A1-D6FC-4f65-9D91-7224C49458BB}"/>
            </c:extLst>
          </c:dLbls>
          <c:cat>
            <c:multiLvlStrRef>
              <c:f>'Rhaniad y Ddeiliadaeth (Cymru)'!$B$101:$B$104</c:f>
            </c:multiLvlStrRef>
          </c:cat>
          <c:val>
            <c:numRef>
              <c:f>'Rhaniad y Ddeiliadaeth (Cymru)'!$I$101:$I$104</c:f>
              <c:numCache>
                <c:formatCode>0%</c:formatCode>
                <c:ptCount val="4"/>
                <c:pt idx="0">
                  <c:v>0</c:v>
                </c:pt>
                <c:pt idx="1">
                  <c:v>0</c:v>
                </c:pt>
                <c:pt idx="2">
                  <c:v>0</c:v>
                </c:pt>
                <c:pt idx="3">
                  <c:v>0</c:v>
                </c:pt>
              </c:numCache>
            </c:numRef>
          </c:val>
          <c:extLst>
            <c:ext xmlns:c16="http://schemas.microsoft.com/office/drawing/2014/chart" uri="{C3380CC4-5D6E-409C-BE32-E72D297353CC}">
              <c16:uniqueId val="{00000008-3B63-4545-868A-9C4DC3FD8BB6}"/>
            </c:ext>
          </c:extLst>
        </c:ser>
        <c:dLbls>
          <c:showLegendKey val="0"/>
          <c:showVal val="0"/>
          <c:showCatName val="0"/>
          <c:showSerName val="0"/>
          <c:showPercent val="0"/>
          <c:showBubbleSize val="0"/>
          <c:showLeaderLines val="1"/>
        </c:dLbls>
        <c:firstSliceAng val="0"/>
      </c:pieChart>
    </c:plotArea>
    <c:legend>
      <c:legendPos val="b"/>
      <c:overlay val="0"/>
      <c:txPr>
        <a:bodyPr/>
        <a:lstStyle/>
        <a:p>
          <a:pPr rtl="0">
            <a:defRPr/>
          </a:pPr>
          <a:endParaRPr lang="en-US"/>
        </a:p>
      </c:txPr>
    </c:legend>
    <c:plotVisOnly val="1"/>
    <c:dispBlanksAs val="gap"/>
    <c:showDLblsOverMax val="0"/>
  </c:chart>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en-GB" sz="1400"/>
              <a:t>Angen Blynyddol o ran Rhaniad Deiliadaeth Tai - Rhagdybiaethau Defnyddwyr (Cymru)</a:t>
            </a:r>
            <a:endParaRPr lang="en-GB" sz="1400" baseline="0"/>
          </a:p>
          <a:p>
            <a:pPr>
              <a:defRPr sz="1400"/>
            </a:pPr>
            <a:endParaRPr lang="en-GB" sz="1400"/>
          </a:p>
        </c:rich>
      </c:tx>
      <c:overlay val="0"/>
    </c:title>
    <c:autoTitleDeleted val="0"/>
    <c:plotArea>
      <c:layout/>
      <c:barChart>
        <c:barDir val="col"/>
        <c:grouping val="stacked"/>
        <c:varyColors val="0"/>
        <c:ser>
          <c:idx val="0"/>
          <c:order val="0"/>
          <c:tx>
            <c:strRef>
              <c:f>'Rhaniad y Ddeiliadaeth (Cymru)'!$B$57</c:f>
              <c:strCache>
                <c:ptCount val="1"/>
                <c:pt idx="0">
                  <c:v>Tai'r Farchnad</c:v>
                </c:pt>
              </c:strCache>
            </c:strRef>
          </c:tx>
          <c:spPr>
            <a:solidFill>
              <a:srgbClr val="2E75B6"/>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'Rhaniad y Ddeiliadaeth (Cymru)'!$C$56:$G$56</c:f>
              <c:strCache>
                <c:ptCount val="5"/>
                <c:pt idx="0">
                  <c:v>2018/19</c:v>
                </c:pt>
                <c:pt idx="1">
                  <c:v>2019/20</c:v>
                </c:pt>
                <c:pt idx="2">
                  <c:v>2020/21</c:v>
                </c:pt>
                <c:pt idx="3">
                  <c:v>2021/22</c:v>
                </c:pt>
                <c:pt idx="4">
                  <c:v>2022/23</c:v>
                </c:pt>
              </c:strCache>
            </c:strRef>
          </c:cat>
          <c:val>
            <c:numRef>
              <c:f>'Rhaniad y Ddeiliadaeth (Cymru)'!$C$57:$G$57</c:f>
              <c:numCache>
                <c:formatCode>_-* #,##0_-;\-* #,##0_-;_-* "-"??_-;_-@_-</c:formatCode>
                <c:ptCount val="5"/>
                <c:pt idx="0">
                  <c:v>4475.78</c:v>
                </c:pt>
                <c:pt idx="1">
                  <c:v>4248.6499999999996</c:v>
                </c:pt>
                <c:pt idx="2">
                  <c:v>4287.6899999999996</c:v>
                </c:pt>
                <c:pt idx="3">
                  <c:v>4572.5599999999995</c:v>
                </c:pt>
                <c:pt idx="4">
                  <c:v>4413.16</c:v>
                </c:pt>
              </c:numCache>
            </c:numRef>
          </c:val>
          <c:extLst>
            <c:ext xmlns:c16="http://schemas.microsoft.com/office/drawing/2014/chart" uri="{C3380CC4-5D6E-409C-BE32-E72D297353CC}">
              <c16:uniqueId val="{00000000-7573-44F8-9B8A-510A39ED7C11}"/>
            </c:ext>
          </c:extLst>
        </c:ser>
        <c:ser>
          <c:idx val="1"/>
          <c:order val="1"/>
          <c:tx>
            <c:strRef>
              <c:f>'Rhaniad y Ddeiliadaeth (Cymru)'!$B$58</c:f>
              <c:strCache>
                <c:ptCount val="1"/>
                <c:pt idx="0">
                  <c:v>Tai Fforddiadwy</c:v>
                </c:pt>
              </c:strCache>
            </c:strRef>
          </c:tx>
          <c:spPr>
            <a:solidFill>
              <a:srgbClr val="9DC3E6"/>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'Rhaniad y Ddeiliadaeth (Cymru)'!$C$56:$G$56</c:f>
              <c:strCache>
                <c:ptCount val="5"/>
                <c:pt idx="0">
                  <c:v>2018/19</c:v>
                </c:pt>
                <c:pt idx="1">
                  <c:v>2019/20</c:v>
                </c:pt>
                <c:pt idx="2">
                  <c:v>2020/21</c:v>
                </c:pt>
                <c:pt idx="3">
                  <c:v>2021/22</c:v>
                </c:pt>
                <c:pt idx="4">
                  <c:v>2022/23</c:v>
                </c:pt>
              </c:strCache>
            </c:strRef>
          </c:cat>
          <c:val>
            <c:numRef>
              <c:f>'Rhaniad y Ddeiliadaeth (Cymru)'!$C$58:$G$58</c:f>
              <c:numCache>
                <c:formatCode>_-* #,##0_-;\-* #,##0_-;_-* "-"??_-;_-@_-</c:formatCode>
                <c:ptCount val="5"/>
                <c:pt idx="0">
                  <c:v>3872.2200000000003</c:v>
                </c:pt>
                <c:pt idx="1">
                  <c:v>3845.3500000000004</c:v>
                </c:pt>
                <c:pt idx="2">
                  <c:v>3870.3100000000004</c:v>
                </c:pt>
                <c:pt idx="3">
                  <c:v>4052.4400000000005</c:v>
                </c:pt>
                <c:pt idx="4">
                  <c:v>3833.84</c:v>
                </c:pt>
              </c:numCache>
            </c:numRef>
          </c:val>
          <c:extLst>
            <c:ext xmlns:c16="http://schemas.microsoft.com/office/drawing/2014/chart" uri="{C3380CC4-5D6E-409C-BE32-E72D297353CC}">
              <c16:uniqueId val="{00000001-7573-44F8-9B8A-510A39ED7C11}"/>
            </c:ext>
          </c:extLst>
        </c:ser>
        <c:dLbls>
          <c:showLegendKey val="0"/>
          <c:showVal val="0"/>
          <c:showCatName val="0"/>
          <c:showSerName val="0"/>
          <c:showPercent val="0"/>
          <c:showBubbleSize val="0"/>
        </c:dLbls>
        <c:gapWidth val="163"/>
        <c:overlap val="100"/>
        <c:axId val="252050048"/>
        <c:axId val="253170048"/>
      </c:barChart>
      <c:catAx>
        <c:axId val="252050048"/>
        <c:scaling>
          <c:orientation val="minMax"/>
        </c:scaling>
        <c:delete val="0"/>
        <c:axPos val="b"/>
        <c:numFmt formatCode="General" sourceLinked="1"/>
        <c:majorTickMark val="out"/>
        <c:minorTickMark val="none"/>
        <c:tickLblPos val="nextTo"/>
        <c:crossAx val="253170048"/>
        <c:crosses val="autoZero"/>
        <c:auto val="1"/>
        <c:lblAlgn val="ctr"/>
        <c:lblOffset val="100"/>
        <c:noMultiLvlLbl val="0"/>
      </c:catAx>
      <c:valAx>
        <c:axId val="253170048"/>
        <c:scaling>
          <c:orientation val="minMax"/>
          <c:max val="10000"/>
        </c:scaling>
        <c:delete val="0"/>
        <c:axPos val="l"/>
        <c:numFmt formatCode="#,##0" sourceLinked="0"/>
        <c:majorTickMark val="out"/>
        <c:minorTickMark val="none"/>
        <c:tickLblPos val="nextTo"/>
        <c:crossAx val="252050048"/>
        <c:crosses val="autoZero"/>
        <c:crossBetween val="between"/>
        <c:majorUnit val="2000"/>
      </c:valAx>
    </c:plotArea>
    <c:legend>
      <c:legendPos val="b"/>
      <c:overlay val="0"/>
    </c:legend>
    <c:plotVisOnly val="1"/>
    <c:dispBlanksAs val="gap"/>
    <c:showDLblsOverMax val="0"/>
  </c:chart>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en-GB" sz="1400"/>
              <a:t>Angen o ran Tai: Rhagdybiaethau Defnyddwyr ar gyfer Rhaniad Deiliadaeth 5 Mlynedd</a:t>
            </a:r>
            <a:r>
              <a:rPr lang="en-GB" sz="1400" baseline="0"/>
              <a:t> (Cymru) </a:t>
            </a:r>
            <a:endParaRPr lang="en-GB" sz="1400"/>
          </a:p>
        </c:rich>
      </c:tx>
      <c:layout>
        <c:manualLayout>
          <c:xMode val="edge"/>
          <c:yMode val="edge"/>
          <c:x val="0.12711702641488906"/>
          <c:y val="4.442989362189053E-2"/>
        </c:manualLayout>
      </c:layout>
      <c:overlay val="0"/>
    </c:title>
    <c:autoTitleDeleted val="0"/>
    <c:plotArea>
      <c:layout/>
      <c:pieChart>
        <c:varyColors val="1"/>
        <c:ser>
          <c:idx val="0"/>
          <c:order val="0"/>
          <c:dPt>
            <c:idx val="0"/>
            <c:bubble3D val="0"/>
            <c:spPr>
              <a:solidFill>
                <a:srgbClr val="2E75B6"/>
              </a:solidFill>
            </c:spPr>
            <c:extLst>
              <c:ext xmlns:c16="http://schemas.microsoft.com/office/drawing/2014/chart" uri="{C3380CC4-5D6E-409C-BE32-E72D297353CC}">
                <c16:uniqueId val="{00000001-A22A-4AB8-90B9-8FEC5FF9264F}"/>
              </c:ext>
            </c:extLst>
          </c:dPt>
          <c:dPt>
            <c:idx val="1"/>
            <c:bubble3D val="0"/>
            <c:spPr>
              <a:solidFill>
                <a:srgbClr val="9DC3E6"/>
              </a:solidFill>
            </c:spPr>
            <c:extLst>
              <c:ext xmlns:c16="http://schemas.microsoft.com/office/drawing/2014/chart" uri="{C3380CC4-5D6E-409C-BE32-E72D297353CC}">
                <c16:uniqueId val="{00000003-A22A-4AB8-90B9-8FEC5FF9264F}"/>
              </c:ext>
            </c:extLst>
          </c:dPt>
          <c:dPt>
            <c:idx val="2"/>
            <c:bubble3D val="0"/>
            <c:spPr>
              <a:solidFill>
                <a:schemeClr val="accent3">
                  <a:lumMod val="75000"/>
                </a:schemeClr>
              </a:solidFill>
            </c:spPr>
            <c:extLst>
              <c:ext xmlns:c16="http://schemas.microsoft.com/office/drawing/2014/chart" uri="{C3380CC4-5D6E-409C-BE32-E72D297353CC}">
                <c16:uniqueId val="{00000005-A22A-4AB8-90B9-8FEC5FF9264F}"/>
              </c:ext>
            </c:extLst>
          </c:dPt>
          <c:dPt>
            <c:idx val="3"/>
            <c:bubble3D val="0"/>
            <c:spPr>
              <a:solidFill>
                <a:schemeClr val="accent3">
                  <a:lumMod val="60000"/>
                  <a:lumOff val="40000"/>
                </a:schemeClr>
              </a:solidFill>
            </c:spPr>
            <c:extLst>
              <c:ext xmlns:c16="http://schemas.microsoft.com/office/drawing/2014/chart" uri="{C3380CC4-5D6E-409C-BE32-E72D297353CC}">
                <c16:uniqueId val="{00000007-A22A-4AB8-90B9-8FEC5FF9264F}"/>
              </c:ext>
            </c:extLst>
          </c:dPt>
          <c:dLbls>
            <c:spPr>
              <a:noFill/>
              <a:ln>
                <a:noFill/>
              </a:ln>
              <a:effectLst/>
            </c:spPr>
            <c:dLblPos val="ctr"/>
            <c:showLegendKey val="0"/>
            <c:showVal val="1"/>
            <c:showCatName val="0"/>
            <c:showSerName val="0"/>
            <c:showPercent val="0"/>
            <c:showBubbleSize val="0"/>
            <c:showLeaderLines val="1"/>
            <c:extLst>
              <c:ext xmlns:c15="http://schemas.microsoft.com/office/drawing/2012/chart" uri="{CE6537A1-D6FC-4f65-9D91-7224C49458BB}"/>
            </c:extLst>
          </c:dLbls>
          <c:cat>
            <c:strRef>
              <c:f>'Rhaniad y Ddeiliadaeth (Cymru)'!$B$62:$B$63</c:f>
              <c:strCache>
                <c:ptCount val="2"/>
                <c:pt idx="0">
                  <c:v>Tai'r Farchnad</c:v>
                </c:pt>
                <c:pt idx="1">
                  <c:v>Tai Fforddiadwy</c:v>
                </c:pt>
              </c:strCache>
            </c:strRef>
          </c:cat>
          <c:val>
            <c:numRef>
              <c:f>'Rhaniad y Ddeiliadaeth (Cymru)'!$I$62:$I$63</c:f>
              <c:numCache>
                <c:formatCode>0%</c:formatCode>
                <c:ptCount val="2"/>
                <c:pt idx="0">
                  <c:v>0.53042631172839505</c:v>
                </c:pt>
                <c:pt idx="1">
                  <c:v>0.46957368827160501</c:v>
                </c:pt>
              </c:numCache>
            </c:numRef>
          </c:val>
          <c:extLst>
            <c:ext xmlns:c16="http://schemas.microsoft.com/office/drawing/2014/chart" uri="{C3380CC4-5D6E-409C-BE32-E72D297353CC}">
              <c16:uniqueId val="{00000008-A22A-4AB8-90B9-8FEC5FF9264F}"/>
            </c:ext>
          </c:extLst>
        </c:ser>
        <c:dLbls>
          <c:showLegendKey val="0"/>
          <c:showVal val="0"/>
          <c:showCatName val="0"/>
          <c:showSerName val="0"/>
          <c:showPercent val="0"/>
          <c:showBubbleSize val="0"/>
          <c:showLeaderLines val="1"/>
        </c:dLbls>
        <c:firstSliceAng val="0"/>
      </c:pieChart>
    </c:plotArea>
    <c:legend>
      <c:legendPos val="b"/>
      <c:overlay val="0"/>
      <c:txPr>
        <a:bodyPr/>
        <a:lstStyle/>
        <a:p>
          <a:pPr rtl="0">
            <a:defRPr/>
          </a:pPr>
          <a:endParaRPr lang="en-US"/>
        </a:p>
      </c:txPr>
    </c:legend>
    <c:plotVisOnly val="1"/>
    <c:dispBlanksAs val="gap"/>
    <c:showDLblsOverMax val="0"/>
  </c:chart>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lvl="0" indent="0" algn="ctr" defTabSz="914400" rtl="0" eaLnBrk="1" fontAlgn="auto" latinLnBrk="0" hangingPunct="1">
              <a:lnSpc>
                <a:spcPct val="100000"/>
              </a:lnSpc>
              <a:spcBef>
                <a:spcPts val="0"/>
              </a:spcBef>
              <a:spcAft>
                <a:spcPts val="0"/>
              </a:spcAft>
              <a:buClrTx/>
              <a:buSzTx/>
              <a:buFontTx/>
              <a:buNone/>
              <a:tabLst/>
              <a:defRPr sz="1400" b="1"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sz="1400" b="1" i="0" baseline="0">
                <a:effectLst/>
              </a:rPr>
              <a:t>Angen Blynyddol o ran Rhaniad Deiliadaeth Tai - Rhagdybiaethau Defnyddwyr (Gogledd Cymru)</a:t>
            </a:r>
            <a:endParaRPr lang="en-GB" sz="1400" baseline="0">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4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GB" sz="1400"/>
          </a:p>
        </c:rich>
      </c:tx>
      <c:overlay val="0"/>
    </c:title>
    <c:autoTitleDeleted val="0"/>
    <c:plotArea>
      <c:layout/>
      <c:barChart>
        <c:barDir val="col"/>
        <c:grouping val="stacked"/>
        <c:varyColors val="0"/>
        <c:ser>
          <c:idx val="0"/>
          <c:order val="0"/>
          <c:tx>
            <c:strRef>
              <c:f>'Rhaniad y Ddeiliadaeth (Gog)'!$B$93</c:f>
              <c:strCache>
                <c:ptCount val="1"/>
              </c:strCache>
            </c:strRef>
          </c:tx>
          <c:spPr>
            <a:solidFill>
              <a:schemeClr val="tx2">
                <a:lumMod val="75000"/>
              </a:schemeClr>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'Rhaniad y Ddeiliadaeth (Gog)'!$C$92:$G$92</c:f>
            </c:multiLvlStrRef>
          </c:cat>
          <c:val>
            <c:numRef>
              <c:f>'Rhaniad y Ddeiliadaeth (Gog)'!$C$93:$G$93</c:f>
              <c:numCache>
                <c:formatCode>_-* #,##0_-;\-* #,##0_-;_-* "-"??_-;_-@_-</c:formatCode>
                <c:ptCount val="5"/>
                <c:pt idx="0">
                  <c:v>0</c:v>
                </c:pt>
                <c:pt idx="1">
                  <c:v>0</c:v>
                </c:pt>
                <c:pt idx="2">
                  <c:v>0</c:v>
                </c:pt>
                <c:pt idx="3">
                  <c:v>0</c:v>
                </c:pt>
                <c:pt idx="4">
                  <c:v>0</c:v>
                </c:pt>
              </c:numCache>
            </c:numRef>
          </c:val>
          <c:extLst>
            <c:ext xmlns:c16="http://schemas.microsoft.com/office/drawing/2014/chart" uri="{C3380CC4-5D6E-409C-BE32-E72D297353CC}">
              <c16:uniqueId val="{00000000-7676-4197-84D2-CC1D23E0572E}"/>
            </c:ext>
          </c:extLst>
        </c:ser>
        <c:ser>
          <c:idx val="1"/>
          <c:order val="1"/>
          <c:tx>
            <c:strRef>
              <c:f>'Rhaniad y Ddeiliadaeth (Gog)'!$B$94</c:f>
              <c:strCache>
                <c:ptCount val="1"/>
              </c:strCache>
            </c:strRef>
          </c:tx>
          <c:spPr>
            <a:solidFill>
              <a:schemeClr val="tx2">
                <a:lumMod val="60000"/>
                <a:lumOff val="40000"/>
              </a:schemeClr>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'Rhaniad y Ddeiliadaeth (Gog)'!$C$92:$G$92</c:f>
            </c:multiLvlStrRef>
          </c:cat>
          <c:val>
            <c:numRef>
              <c:f>'Rhaniad y Ddeiliadaeth (Gog)'!$C$94:$G$94</c:f>
              <c:numCache>
                <c:formatCode>_-* #,##0_-;\-* #,##0_-;_-* "-"??_-;_-@_-</c:formatCode>
                <c:ptCount val="5"/>
                <c:pt idx="0">
                  <c:v>0</c:v>
                </c:pt>
                <c:pt idx="1">
                  <c:v>0</c:v>
                </c:pt>
                <c:pt idx="2">
                  <c:v>0</c:v>
                </c:pt>
                <c:pt idx="3">
                  <c:v>0</c:v>
                </c:pt>
                <c:pt idx="4">
                  <c:v>0</c:v>
                </c:pt>
              </c:numCache>
            </c:numRef>
          </c:val>
          <c:extLst>
            <c:ext xmlns:c16="http://schemas.microsoft.com/office/drawing/2014/chart" uri="{C3380CC4-5D6E-409C-BE32-E72D297353CC}">
              <c16:uniqueId val="{00000001-7676-4197-84D2-CC1D23E0572E}"/>
            </c:ext>
          </c:extLst>
        </c:ser>
        <c:ser>
          <c:idx val="2"/>
          <c:order val="2"/>
          <c:tx>
            <c:strRef>
              <c:f>'Rhaniad y Ddeiliadaeth (Gog)'!$B$95</c:f>
              <c:strCache>
                <c:ptCount val="1"/>
                <c:pt idx="0">
                  <c:v>  </c:v>
                </c:pt>
              </c:strCache>
            </c:strRef>
          </c:tx>
          <c:spPr>
            <a:solidFill>
              <a:schemeClr val="accent1">
                <a:lumMod val="60000"/>
                <a:lumOff val="40000"/>
              </a:schemeClr>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'Rhaniad y Ddeiliadaeth (Gog)'!$C$92:$G$92</c:f>
            </c:multiLvlStrRef>
          </c:cat>
          <c:val>
            <c:numRef>
              <c:f>'Rhaniad y Ddeiliadaeth (Gog)'!$C$95:$G$95</c:f>
              <c:numCache>
                <c:formatCode>_-* #,##0_-;\-* #,##0_-;_-* "-"??_-;_-@_-</c:formatCode>
                <c:ptCount val="5"/>
                <c:pt idx="0">
                  <c:v>0</c:v>
                </c:pt>
                <c:pt idx="1">
                  <c:v>0</c:v>
                </c:pt>
                <c:pt idx="2">
                  <c:v>0</c:v>
                </c:pt>
                <c:pt idx="3">
                  <c:v>0</c:v>
                </c:pt>
                <c:pt idx="4">
                  <c:v>0</c:v>
                </c:pt>
              </c:numCache>
            </c:numRef>
          </c:val>
          <c:extLst>
            <c:ext xmlns:c16="http://schemas.microsoft.com/office/drawing/2014/chart" uri="{C3380CC4-5D6E-409C-BE32-E72D297353CC}">
              <c16:uniqueId val="{00000002-7676-4197-84D2-CC1D23E0572E}"/>
            </c:ext>
          </c:extLst>
        </c:ser>
        <c:ser>
          <c:idx val="3"/>
          <c:order val="3"/>
          <c:tx>
            <c:strRef>
              <c:f>'Rhaniad y Ddeiliadaeth (Gog)'!$B$96</c:f>
              <c:strCache>
                <c:ptCount val="1"/>
                <c:pt idx="0">
                  <c:v>  </c:v>
                </c:pt>
              </c:strCache>
            </c:strRef>
          </c:tx>
          <c:spPr>
            <a:solidFill>
              <a:schemeClr val="tx2">
                <a:lumMod val="20000"/>
                <a:lumOff val="80000"/>
              </a:schemeClr>
            </a:solidFill>
          </c:spPr>
          <c:invertIfNegative val="0"/>
          <c:dLbls>
            <c:dLbl>
              <c:idx val="4"/>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76-4197-84D2-CC1D23E0572E}"/>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'Rhaniad y Ddeiliadaeth (Gog)'!$C$92:$G$92</c:f>
            </c:multiLvlStrRef>
          </c:cat>
          <c:val>
            <c:numRef>
              <c:f>'Rhaniad y Ddeiliadaeth (Gog)'!$C$96:$G$96</c:f>
              <c:numCache>
                <c:formatCode>_-* #,##0_-;\-* #,##0_-;_-* "-"??_-;_-@_-</c:formatCode>
                <c:ptCount val="5"/>
                <c:pt idx="0">
                  <c:v>0</c:v>
                </c:pt>
                <c:pt idx="1">
                  <c:v>0</c:v>
                </c:pt>
                <c:pt idx="2">
                  <c:v>0</c:v>
                </c:pt>
                <c:pt idx="3">
                  <c:v>0</c:v>
                </c:pt>
                <c:pt idx="4">
                  <c:v>0</c:v>
                </c:pt>
              </c:numCache>
            </c:numRef>
          </c:val>
          <c:extLst>
            <c:ext xmlns:c16="http://schemas.microsoft.com/office/drawing/2014/chart" uri="{C3380CC4-5D6E-409C-BE32-E72D297353CC}">
              <c16:uniqueId val="{00000004-7676-4197-84D2-CC1D23E0572E}"/>
            </c:ext>
          </c:extLst>
        </c:ser>
        <c:dLbls>
          <c:showLegendKey val="0"/>
          <c:showVal val="0"/>
          <c:showCatName val="0"/>
          <c:showSerName val="0"/>
          <c:showPercent val="0"/>
          <c:showBubbleSize val="0"/>
        </c:dLbls>
        <c:gapWidth val="163"/>
        <c:overlap val="100"/>
        <c:axId val="252148352"/>
        <c:axId val="252174720"/>
      </c:barChart>
      <c:catAx>
        <c:axId val="252148352"/>
        <c:scaling>
          <c:orientation val="minMax"/>
        </c:scaling>
        <c:delete val="0"/>
        <c:axPos val="b"/>
        <c:numFmt formatCode="General" sourceLinked="1"/>
        <c:majorTickMark val="out"/>
        <c:minorTickMark val="none"/>
        <c:tickLblPos val="nextTo"/>
        <c:crossAx val="252174720"/>
        <c:crosses val="autoZero"/>
        <c:auto val="1"/>
        <c:lblAlgn val="ctr"/>
        <c:lblOffset val="100"/>
        <c:noMultiLvlLbl val="0"/>
      </c:catAx>
      <c:valAx>
        <c:axId val="252174720"/>
        <c:scaling>
          <c:orientation val="minMax"/>
          <c:max val="3000"/>
          <c:min val="0"/>
        </c:scaling>
        <c:delete val="0"/>
        <c:axPos val="l"/>
        <c:numFmt formatCode="#,##0" sourceLinked="0"/>
        <c:majorTickMark val="out"/>
        <c:minorTickMark val="none"/>
        <c:tickLblPos val="nextTo"/>
        <c:crossAx val="252148352"/>
        <c:crosses val="autoZero"/>
        <c:crossBetween val="between"/>
        <c:majorUnit val="1000"/>
      </c:valAx>
    </c:plotArea>
    <c:legend>
      <c:legendPos val="b"/>
      <c:overlay val="0"/>
    </c:legend>
    <c:plotVisOnly val="1"/>
    <c:dispBlanksAs val="gap"/>
    <c:showDLblsOverMax val="0"/>
  </c:chart>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en-GB" sz="1400" b="1" i="0" baseline="0">
                <a:effectLst/>
              </a:rPr>
              <a:t>Angen o ran Tai: Rhagdybiaethau Defnyddwyr ar gyfer Rhaniad Deiliadaeth 5 Mlynedd (Gogledd Cymru)</a:t>
            </a:r>
            <a:r>
              <a:rPr lang="en-GB" sz="1800" b="1" i="0" baseline="0">
                <a:effectLst/>
              </a:rPr>
              <a:t> </a:t>
            </a:r>
            <a:endParaRPr lang="en-GB" sz="1400">
              <a:effectLst/>
            </a:endParaRPr>
          </a:p>
        </c:rich>
      </c:tx>
      <c:layout>
        <c:manualLayout>
          <c:xMode val="edge"/>
          <c:yMode val="edge"/>
          <c:x val="0.1269186714162798"/>
          <c:y val="2.2214946810945265E-2"/>
        </c:manualLayout>
      </c:layout>
      <c:overlay val="0"/>
    </c:title>
    <c:autoTitleDeleted val="0"/>
    <c:plotArea>
      <c:layout/>
      <c:pieChart>
        <c:varyColors val="1"/>
        <c:ser>
          <c:idx val="0"/>
          <c:order val="0"/>
          <c:dPt>
            <c:idx val="0"/>
            <c:bubble3D val="0"/>
            <c:spPr>
              <a:solidFill>
                <a:schemeClr val="tx2">
                  <a:lumMod val="75000"/>
                </a:schemeClr>
              </a:solidFill>
            </c:spPr>
            <c:extLst>
              <c:ext xmlns:c16="http://schemas.microsoft.com/office/drawing/2014/chart" uri="{C3380CC4-5D6E-409C-BE32-E72D297353CC}">
                <c16:uniqueId val="{00000001-82E2-4019-8E1D-8F478894CD08}"/>
              </c:ext>
            </c:extLst>
          </c:dPt>
          <c:dPt>
            <c:idx val="1"/>
            <c:bubble3D val="0"/>
            <c:spPr>
              <a:solidFill>
                <a:schemeClr val="tx2">
                  <a:lumMod val="60000"/>
                  <a:lumOff val="40000"/>
                </a:schemeClr>
              </a:solidFill>
            </c:spPr>
            <c:extLst>
              <c:ext xmlns:c16="http://schemas.microsoft.com/office/drawing/2014/chart" uri="{C3380CC4-5D6E-409C-BE32-E72D297353CC}">
                <c16:uniqueId val="{00000003-82E2-4019-8E1D-8F478894CD08}"/>
              </c:ext>
            </c:extLst>
          </c:dPt>
          <c:dPt>
            <c:idx val="2"/>
            <c:bubble3D val="0"/>
            <c:spPr>
              <a:solidFill>
                <a:schemeClr val="accent1">
                  <a:lumMod val="60000"/>
                  <a:lumOff val="40000"/>
                </a:schemeClr>
              </a:solidFill>
            </c:spPr>
            <c:extLst>
              <c:ext xmlns:c16="http://schemas.microsoft.com/office/drawing/2014/chart" uri="{C3380CC4-5D6E-409C-BE32-E72D297353CC}">
                <c16:uniqueId val="{00000005-82E2-4019-8E1D-8F478894CD08}"/>
              </c:ext>
            </c:extLst>
          </c:dPt>
          <c:dPt>
            <c:idx val="3"/>
            <c:bubble3D val="0"/>
            <c:spPr>
              <a:solidFill>
                <a:schemeClr val="tx2">
                  <a:lumMod val="20000"/>
                  <a:lumOff val="80000"/>
                </a:schemeClr>
              </a:solidFill>
            </c:spPr>
            <c:extLst>
              <c:ext xmlns:c16="http://schemas.microsoft.com/office/drawing/2014/chart" uri="{C3380CC4-5D6E-409C-BE32-E72D297353CC}">
                <c16:uniqueId val="{00000007-82E2-4019-8E1D-8F478894CD08}"/>
              </c:ext>
            </c:extLst>
          </c:dPt>
          <c:dLbls>
            <c:spPr>
              <a:noFill/>
              <a:ln>
                <a:noFill/>
              </a:ln>
              <a:effectLst/>
            </c:spPr>
            <c:dLblPos val="ctr"/>
            <c:showLegendKey val="0"/>
            <c:showVal val="1"/>
            <c:showCatName val="0"/>
            <c:showSerName val="0"/>
            <c:showPercent val="0"/>
            <c:showBubbleSize val="0"/>
            <c:showLeaderLines val="1"/>
            <c:extLst>
              <c:ext xmlns:c15="http://schemas.microsoft.com/office/drawing/2012/chart" uri="{CE6537A1-D6FC-4f65-9D91-7224C49458BB}"/>
            </c:extLst>
          </c:dLbls>
          <c:cat>
            <c:multiLvlStrRef>
              <c:f>'Rhaniad y Ddeiliadaeth (Gog)'!$B$101:$B$104</c:f>
            </c:multiLvlStrRef>
          </c:cat>
          <c:val>
            <c:numRef>
              <c:f>'Rhaniad y Ddeiliadaeth (Gog)'!$I$101:$I$104</c:f>
              <c:numCache>
                <c:formatCode>0%</c:formatCode>
                <c:ptCount val="4"/>
                <c:pt idx="0">
                  <c:v>0</c:v>
                </c:pt>
                <c:pt idx="1">
                  <c:v>0</c:v>
                </c:pt>
                <c:pt idx="2">
                  <c:v>0</c:v>
                </c:pt>
                <c:pt idx="3">
                  <c:v>0</c:v>
                </c:pt>
              </c:numCache>
            </c:numRef>
          </c:val>
          <c:extLst>
            <c:ext xmlns:c16="http://schemas.microsoft.com/office/drawing/2014/chart" uri="{C3380CC4-5D6E-409C-BE32-E72D297353CC}">
              <c16:uniqueId val="{00000008-82E2-4019-8E1D-8F478894CD08}"/>
            </c:ext>
          </c:extLst>
        </c:ser>
        <c:dLbls>
          <c:showLegendKey val="0"/>
          <c:showVal val="0"/>
          <c:showCatName val="0"/>
          <c:showSerName val="0"/>
          <c:showPercent val="0"/>
          <c:showBubbleSize val="0"/>
          <c:showLeaderLines val="1"/>
        </c:dLbls>
        <c:firstSliceAng val="0"/>
      </c:pieChart>
    </c:plotArea>
    <c:legend>
      <c:legendPos val="b"/>
      <c:overlay val="0"/>
      <c:txPr>
        <a:bodyPr/>
        <a:lstStyle/>
        <a:p>
          <a:pPr rtl="0">
            <a:defRPr/>
          </a:pPr>
          <a:endParaRPr lang="en-US"/>
        </a:p>
      </c:txPr>
    </c:legend>
    <c:plotVisOnly val="1"/>
    <c:dispBlanksAs val="gap"/>
    <c:showDLblsOverMax val="0"/>
  </c:chart>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aseline="0"/>
            </a:pPr>
            <a:r>
              <a:rPr lang="en-GB" sz="1400" b="1" i="0" baseline="0">
                <a:effectLst/>
              </a:rPr>
              <a:t>Angen Blynyddol o ran Rhaniad Deiliadaeth Tai - Rhagdybiaethau Defnyddwyr (Gogledd Cymru)</a:t>
            </a:r>
            <a:endParaRPr lang="en-GB" sz="1400" baseline="0">
              <a:effectLst/>
            </a:endParaRPr>
          </a:p>
        </c:rich>
      </c:tx>
      <c:overlay val="0"/>
    </c:title>
    <c:autoTitleDeleted val="0"/>
    <c:plotArea>
      <c:layout>
        <c:manualLayout>
          <c:layoutTarget val="inner"/>
          <c:xMode val="edge"/>
          <c:yMode val="edge"/>
          <c:x val="5.3227360056720366E-2"/>
          <c:y val="0.21229764188802724"/>
          <c:w val="0.93218101634992989"/>
          <c:h val="0.64123946782597752"/>
        </c:manualLayout>
      </c:layout>
      <c:barChart>
        <c:barDir val="col"/>
        <c:grouping val="stacked"/>
        <c:varyColors val="0"/>
        <c:ser>
          <c:idx val="0"/>
          <c:order val="0"/>
          <c:tx>
            <c:strRef>
              <c:f>'Rhaniad y Ddeiliadaeth (Gog)'!$B$57</c:f>
              <c:strCache>
                <c:ptCount val="1"/>
                <c:pt idx="0">
                  <c:v>Tai'r Farchnad</c:v>
                </c:pt>
              </c:strCache>
            </c:strRef>
          </c:tx>
          <c:spPr>
            <a:solidFill>
              <a:srgbClr val="2E75B6"/>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'Rhaniad y Ddeiliadaeth (Gog)'!$C$56:$G$56</c:f>
              <c:strCache>
                <c:ptCount val="5"/>
                <c:pt idx="0">
                  <c:v>2018/19</c:v>
                </c:pt>
                <c:pt idx="1">
                  <c:v>2019/20</c:v>
                </c:pt>
                <c:pt idx="2">
                  <c:v>2020/21</c:v>
                </c:pt>
                <c:pt idx="3">
                  <c:v>2021/22</c:v>
                </c:pt>
                <c:pt idx="4">
                  <c:v>2022/23</c:v>
                </c:pt>
              </c:strCache>
            </c:strRef>
          </c:cat>
          <c:val>
            <c:numRef>
              <c:f>'Rhaniad y Ddeiliadaeth (Gog)'!$C$57:$G$57</c:f>
              <c:numCache>
                <c:formatCode>_-* #,##0_-;\-* #,##0_-;_-* "-"??_-;_-@_-</c:formatCode>
                <c:ptCount val="5"/>
                <c:pt idx="0">
                  <c:v>814.79</c:v>
                </c:pt>
                <c:pt idx="1">
                  <c:v>758.06</c:v>
                </c:pt>
                <c:pt idx="2">
                  <c:v>754</c:v>
                </c:pt>
                <c:pt idx="3">
                  <c:v>816.56</c:v>
                </c:pt>
                <c:pt idx="4">
                  <c:v>771.13</c:v>
                </c:pt>
              </c:numCache>
            </c:numRef>
          </c:val>
          <c:extLst>
            <c:ext xmlns:c16="http://schemas.microsoft.com/office/drawing/2014/chart" uri="{C3380CC4-5D6E-409C-BE32-E72D297353CC}">
              <c16:uniqueId val="{00000000-0BB1-4869-9C4A-CF64E807EC84}"/>
            </c:ext>
          </c:extLst>
        </c:ser>
        <c:ser>
          <c:idx val="1"/>
          <c:order val="1"/>
          <c:tx>
            <c:strRef>
              <c:f>'Rhaniad y Ddeiliadaeth (Gog)'!$B$58</c:f>
              <c:strCache>
                <c:ptCount val="1"/>
                <c:pt idx="0">
                  <c:v>Tai Fforddiadwy</c:v>
                </c:pt>
              </c:strCache>
            </c:strRef>
          </c:tx>
          <c:spPr>
            <a:solidFill>
              <a:srgbClr val="9DC3E6"/>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'Rhaniad y Ddeiliadaeth (Gog)'!$C$56:$G$56</c:f>
              <c:strCache>
                <c:ptCount val="5"/>
                <c:pt idx="0">
                  <c:v>2018/19</c:v>
                </c:pt>
                <c:pt idx="1">
                  <c:v>2019/20</c:v>
                </c:pt>
                <c:pt idx="2">
                  <c:v>2020/21</c:v>
                </c:pt>
                <c:pt idx="3">
                  <c:v>2021/22</c:v>
                </c:pt>
                <c:pt idx="4">
                  <c:v>2022/23</c:v>
                </c:pt>
              </c:strCache>
            </c:strRef>
          </c:cat>
          <c:val>
            <c:numRef>
              <c:f>'Rhaniad y Ddeiliadaeth (Gog)'!$C$58:$G$58</c:f>
              <c:numCache>
                <c:formatCode>_-* #,##0_-;\-* #,##0_-;_-* "-"??_-;_-@_-</c:formatCode>
                <c:ptCount val="5"/>
                <c:pt idx="0">
                  <c:v>814.61000000000013</c:v>
                </c:pt>
                <c:pt idx="1">
                  <c:v>797.34000000000015</c:v>
                </c:pt>
                <c:pt idx="2">
                  <c:v>794.40000000000009</c:v>
                </c:pt>
                <c:pt idx="3">
                  <c:v>815.84000000000015</c:v>
                </c:pt>
                <c:pt idx="4">
                  <c:v>784.2700000000001</c:v>
                </c:pt>
              </c:numCache>
            </c:numRef>
          </c:val>
          <c:extLst>
            <c:ext xmlns:c16="http://schemas.microsoft.com/office/drawing/2014/chart" uri="{C3380CC4-5D6E-409C-BE32-E72D297353CC}">
              <c16:uniqueId val="{00000001-0BB1-4869-9C4A-CF64E807EC84}"/>
            </c:ext>
          </c:extLst>
        </c:ser>
        <c:dLbls>
          <c:showLegendKey val="0"/>
          <c:showVal val="0"/>
          <c:showCatName val="0"/>
          <c:showSerName val="0"/>
          <c:showPercent val="0"/>
          <c:showBubbleSize val="0"/>
        </c:dLbls>
        <c:gapWidth val="163"/>
        <c:overlap val="100"/>
        <c:axId val="253433344"/>
        <c:axId val="253434880"/>
      </c:barChart>
      <c:catAx>
        <c:axId val="253433344"/>
        <c:scaling>
          <c:orientation val="minMax"/>
        </c:scaling>
        <c:delete val="0"/>
        <c:axPos val="b"/>
        <c:numFmt formatCode="General" sourceLinked="1"/>
        <c:majorTickMark val="out"/>
        <c:minorTickMark val="none"/>
        <c:tickLblPos val="nextTo"/>
        <c:crossAx val="253434880"/>
        <c:crosses val="autoZero"/>
        <c:auto val="1"/>
        <c:lblAlgn val="ctr"/>
        <c:lblOffset val="100"/>
        <c:noMultiLvlLbl val="0"/>
      </c:catAx>
      <c:valAx>
        <c:axId val="253434880"/>
        <c:scaling>
          <c:orientation val="minMax"/>
          <c:max val="2000"/>
        </c:scaling>
        <c:delete val="0"/>
        <c:axPos val="l"/>
        <c:numFmt formatCode="#,##0" sourceLinked="0"/>
        <c:majorTickMark val="out"/>
        <c:minorTickMark val="none"/>
        <c:tickLblPos val="nextTo"/>
        <c:crossAx val="253433344"/>
        <c:crosses val="autoZero"/>
        <c:crossBetween val="between"/>
        <c:majorUnit val="500"/>
      </c:valAx>
    </c:plotArea>
    <c:legend>
      <c:legendPos val="b"/>
      <c:overlay val="0"/>
    </c:legend>
    <c:plotVisOnly val="1"/>
    <c:dispBlanksAs val="gap"/>
    <c:showDLblsOverMax val="0"/>
  </c:chart>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aseline="0"/>
            </a:pPr>
            <a:r>
              <a:rPr lang="en-GB" sz="1400" b="1" i="0" baseline="0">
                <a:effectLst/>
              </a:rPr>
              <a:t>Angen o ran Tai: Rhagdybiaethau Defnyddwyr ar gyfer Rhaniad Deiliadaeth 5 Mlynedd (Gogledd Cymru) </a:t>
            </a:r>
            <a:endParaRPr lang="en-GB" sz="1400" baseline="0"/>
          </a:p>
        </c:rich>
      </c:tx>
      <c:layout>
        <c:manualLayout>
          <c:xMode val="edge"/>
          <c:yMode val="edge"/>
          <c:x val="0.13557383105686699"/>
          <c:y val="2.2214946810945265E-2"/>
        </c:manualLayout>
      </c:layout>
      <c:overlay val="0"/>
    </c:title>
    <c:autoTitleDeleted val="0"/>
    <c:plotArea>
      <c:layout/>
      <c:pieChart>
        <c:varyColors val="1"/>
        <c:ser>
          <c:idx val="0"/>
          <c:order val="0"/>
          <c:dPt>
            <c:idx val="0"/>
            <c:bubble3D val="0"/>
            <c:spPr>
              <a:solidFill>
                <a:srgbClr val="2E75B6"/>
              </a:solidFill>
            </c:spPr>
            <c:extLst>
              <c:ext xmlns:c16="http://schemas.microsoft.com/office/drawing/2014/chart" uri="{C3380CC4-5D6E-409C-BE32-E72D297353CC}">
                <c16:uniqueId val="{00000001-5290-41DB-82A7-575A6D2A70A1}"/>
              </c:ext>
            </c:extLst>
          </c:dPt>
          <c:dPt>
            <c:idx val="1"/>
            <c:bubble3D val="0"/>
            <c:spPr>
              <a:solidFill>
                <a:srgbClr val="9DC3E6"/>
              </a:solidFill>
            </c:spPr>
            <c:extLst>
              <c:ext xmlns:c16="http://schemas.microsoft.com/office/drawing/2014/chart" uri="{C3380CC4-5D6E-409C-BE32-E72D297353CC}">
                <c16:uniqueId val="{00000003-5290-41DB-82A7-575A6D2A70A1}"/>
              </c:ext>
            </c:extLst>
          </c:dPt>
          <c:dPt>
            <c:idx val="2"/>
            <c:bubble3D val="0"/>
            <c:spPr>
              <a:solidFill>
                <a:schemeClr val="accent3">
                  <a:lumMod val="75000"/>
                </a:schemeClr>
              </a:solidFill>
            </c:spPr>
            <c:extLst>
              <c:ext xmlns:c16="http://schemas.microsoft.com/office/drawing/2014/chart" uri="{C3380CC4-5D6E-409C-BE32-E72D297353CC}">
                <c16:uniqueId val="{00000005-5290-41DB-82A7-575A6D2A70A1}"/>
              </c:ext>
            </c:extLst>
          </c:dPt>
          <c:dPt>
            <c:idx val="3"/>
            <c:bubble3D val="0"/>
            <c:spPr>
              <a:solidFill>
                <a:schemeClr val="accent3">
                  <a:lumMod val="60000"/>
                  <a:lumOff val="40000"/>
                </a:schemeClr>
              </a:solidFill>
            </c:spPr>
            <c:extLst>
              <c:ext xmlns:c16="http://schemas.microsoft.com/office/drawing/2014/chart" uri="{C3380CC4-5D6E-409C-BE32-E72D297353CC}">
                <c16:uniqueId val="{00000007-5290-41DB-82A7-575A6D2A70A1}"/>
              </c:ext>
            </c:extLst>
          </c:dPt>
          <c:dLbls>
            <c:spPr>
              <a:noFill/>
              <a:ln>
                <a:noFill/>
              </a:ln>
              <a:effectLst/>
            </c:spPr>
            <c:dLblPos val="ctr"/>
            <c:showLegendKey val="0"/>
            <c:showVal val="1"/>
            <c:showCatName val="0"/>
            <c:showSerName val="0"/>
            <c:showPercent val="0"/>
            <c:showBubbleSize val="0"/>
            <c:showLeaderLines val="1"/>
            <c:extLst>
              <c:ext xmlns:c15="http://schemas.microsoft.com/office/drawing/2012/chart" uri="{CE6537A1-D6FC-4f65-9D91-7224C49458BB}"/>
            </c:extLst>
          </c:dLbls>
          <c:cat>
            <c:strRef>
              <c:f>'Rhaniad y Ddeiliadaeth (Gog)'!$B$62:$B$63</c:f>
              <c:strCache>
                <c:ptCount val="2"/>
                <c:pt idx="0">
                  <c:v>Tai'r Farchnad</c:v>
                </c:pt>
                <c:pt idx="1">
                  <c:v>Tai Fforddiadwy</c:v>
                </c:pt>
              </c:strCache>
            </c:strRef>
          </c:cat>
          <c:val>
            <c:numRef>
              <c:f>'Rhaniad y Ddeiliadaeth (Gog)'!$I$62:$I$63</c:f>
              <c:numCache>
                <c:formatCode>0%</c:formatCode>
                <c:ptCount val="2"/>
                <c:pt idx="0">
                  <c:v>0.49419770231031435</c:v>
                </c:pt>
                <c:pt idx="1">
                  <c:v>0.50580229768968565</c:v>
                </c:pt>
              </c:numCache>
            </c:numRef>
          </c:val>
          <c:extLst>
            <c:ext xmlns:c16="http://schemas.microsoft.com/office/drawing/2014/chart" uri="{C3380CC4-5D6E-409C-BE32-E72D297353CC}">
              <c16:uniqueId val="{00000008-5290-41DB-82A7-575A6D2A70A1}"/>
            </c:ext>
          </c:extLst>
        </c:ser>
        <c:dLbls>
          <c:showLegendKey val="0"/>
          <c:showVal val="0"/>
          <c:showCatName val="0"/>
          <c:showSerName val="0"/>
          <c:showPercent val="0"/>
          <c:showBubbleSize val="0"/>
          <c:showLeaderLines val="1"/>
        </c:dLbls>
        <c:firstSliceAng val="0"/>
      </c:pieChart>
    </c:plotArea>
    <c:legend>
      <c:legendPos val="b"/>
      <c:overlay val="0"/>
      <c:txPr>
        <a:bodyPr/>
        <a:lstStyle/>
        <a:p>
          <a:pPr rtl="0">
            <a:defRPr/>
          </a:pPr>
          <a:endParaRPr lang="en-US"/>
        </a:p>
      </c:txPr>
    </c:legend>
    <c:plotVisOnly val="1"/>
    <c:dispBlanksAs val="gap"/>
    <c:showDLblsOverMax val="0"/>
  </c:chart>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aseline="0"/>
            </a:pPr>
            <a:r>
              <a:rPr lang="en-GB" sz="1400" b="1" i="0" baseline="0">
                <a:effectLst/>
              </a:rPr>
              <a:t>Angen Blynyddol o ran Rhaniad Deiliadaeth Tai - Rhagdybiaethau Defnyddwyr</a:t>
            </a:r>
            <a:endParaRPr lang="en-GB" sz="1400" baseline="0">
              <a:effectLst/>
            </a:endParaRPr>
          </a:p>
          <a:p>
            <a:pPr>
              <a:defRPr sz="1400" baseline="0"/>
            </a:pPr>
            <a:r>
              <a:rPr lang="en-GB" sz="1400" b="1" i="0" baseline="0">
                <a:effectLst/>
              </a:rPr>
              <a:t>(Canolbarth a De-orllewin Cymru)</a:t>
            </a:r>
            <a:endParaRPr lang="en-GB" sz="1400" baseline="0">
              <a:effectLst/>
            </a:endParaRPr>
          </a:p>
        </c:rich>
      </c:tx>
      <c:overlay val="0"/>
    </c:title>
    <c:autoTitleDeleted val="0"/>
    <c:plotArea>
      <c:layout/>
      <c:barChart>
        <c:barDir val="col"/>
        <c:grouping val="stacked"/>
        <c:varyColors val="0"/>
        <c:ser>
          <c:idx val="0"/>
          <c:order val="0"/>
          <c:tx>
            <c:strRef>
              <c:f>'Rhaniad y Ddeiliadaeth (C&amp;De-o)'!$B$93</c:f>
              <c:strCache>
                <c:ptCount val="1"/>
              </c:strCache>
            </c:strRef>
          </c:tx>
          <c:spPr>
            <a:solidFill>
              <a:schemeClr val="tx2">
                <a:lumMod val="75000"/>
              </a:schemeClr>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'Rhaniad y Ddeiliadaeth (C&amp;De-o)'!$C$92:$G$92</c:f>
            </c:multiLvlStrRef>
          </c:cat>
          <c:val>
            <c:numRef>
              <c:f>'Rhaniad y Ddeiliadaeth (C&amp;De-o)'!$C$93:$G$93</c:f>
              <c:numCache>
                <c:formatCode>_-* #,##0_-;\-* #,##0_-;_-* "-"??_-;_-@_-</c:formatCode>
                <c:ptCount val="5"/>
                <c:pt idx="0">
                  <c:v>0</c:v>
                </c:pt>
                <c:pt idx="1">
                  <c:v>0</c:v>
                </c:pt>
                <c:pt idx="2">
                  <c:v>0</c:v>
                </c:pt>
                <c:pt idx="3">
                  <c:v>0</c:v>
                </c:pt>
                <c:pt idx="4">
                  <c:v>0</c:v>
                </c:pt>
              </c:numCache>
            </c:numRef>
          </c:val>
          <c:extLst>
            <c:ext xmlns:c16="http://schemas.microsoft.com/office/drawing/2014/chart" uri="{C3380CC4-5D6E-409C-BE32-E72D297353CC}">
              <c16:uniqueId val="{00000000-9B66-42AB-9F26-C88F23B28AD6}"/>
            </c:ext>
          </c:extLst>
        </c:ser>
        <c:ser>
          <c:idx val="1"/>
          <c:order val="1"/>
          <c:tx>
            <c:strRef>
              <c:f>'Rhaniad y Ddeiliadaeth (C&amp;De-o)'!$B$94</c:f>
              <c:strCache>
                <c:ptCount val="1"/>
              </c:strCache>
            </c:strRef>
          </c:tx>
          <c:spPr>
            <a:solidFill>
              <a:schemeClr val="tx2">
                <a:lumMod val="60000"/>
                <a:lumOff val="40000"/>
              </a:schemeClr>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'Rhaniad y Ddeiliadaeth (C&amp;De-o)'!$C$92:$G$92</c:f>
            </c:multiLvlStrRef>
          </c:cat>
          <c:val>
            <c:numRef>
              <c:f>'Rhaniad y Ddeiliadaeth (C&amp;De-o)'!$C$94:$G$94</c:f>
              <c:numCache>
                <c:formatCode>_-* #,##0_-;\-* #,##0_-;_-* "-"??_-;_-@_-</c:formatCode>
                <c:ptCount val="5"/>
                <c:pt idx="0">
                  <c:v>0</c:v>
                </c:pt>
                <c:pt idx="1">
                  <c:v>0</c:v>
                </c:pt>
                <c:pt idx="2">
                  <c:v>0</c:v>
                </c:pt>
                <c:pt idx="3">
                  <c:v>0</c:v>
                </c:pt>
                <c:pt idx="4">
                  <c:v>0</c:v>
                </c:pt>
              </c:numCache>
            </c:numRef>
          </c:val>
          <c:extLst>
            <c:ext xmlns:c16="http://schemas.microsoft.com/office/drawing/2014/chart" uri="{C3380CC4-5D6E-409C-BE32-E72D297353CC}">
              <c16:uniqueId val="{00000001-9B66-42AB-9F26-C88F23B28AD6}"/>
            </c:ext>
          </c:extLst>
        </c:ser>
        <c:ser>
          <c:idx val="2"/>
          <c:order val="2"/>
          <c:tx>
            <c:strRef>
              <c:f>'Rhaniad y Ddeiliadaeth (C&amp;De-o)'!$B$95</c:f>
              <c:strCache>
                <c:ptCount val="1"/>
                <c:pt idx="0">
                  <c:v>  </c:v>
                </c:pt>
              </c:strCache>
            </c:strRef>
          </c:tx>
          <c:spPr>
            <a:solidFill>
              <a:schemeClr val="accent1">
                <a:lumMod val="60000"/>
                <a:lumOff val="40000"/>
              </a:schemeClr>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'Rhaniad y Ddeiliadaeth (C&amp;De-o)'!$C$92:$G$92</c:f>
            </c:multiLvlStrRef>
          </c:cat>
          <c:val>
            <c:numRef>
              <c:f>'Rhaniad y Ddeiliadaeth (C&amp;De-o)'!$C$95:$G$95</c:f>
              <c:numCache>
                <c:formatCode>_-* #,##0_-;\-* #,##0_-;_-* "-"??_-;_-@_-</c:formatCode>
                <c:ptCount val="5"/>
                <c:pt idx="0">
                  <c:v>0</c:v>
                </c:pt>
                <c:pt idx="1">
                  <c:v>0</c:v>
                </c:pt>
                <c:pt idx="2">
                  <c:v>0</c:v>
                </c:pt>
                <c:pt idx="3">
                  <c:v>0</c:v>
                </c:pt>
                <c:pt idx="4">
                  <c:v>0</c:v>
                </c:pt>
              </c:numCache>
            </c:numRef>
          </c:val>
          <c:extLst>
            <c:ext xmlns:c16="http://schemas.microsoft.com/office/drawing/2014/chart" uri="{C3380CC4-5D6E-409C-BE32-E72D297353CC}">
              <c16:uniqueId val="{00000002-9B66-42AB-9F26-C88F23B28AD6}"/>
            </c:ext>
          </c:extLst>
        </c:ser>
        <c:ser>
          <c:idx val="3"/>
          <c:order val="3"/>
          <c:tx>
            <c:strRef>
              <c:f>'Rhaniad y Ddeiliadaeth (C&amp;De-o)'!$B$96</c:f>
              <c:strCache>
                <c:ptCount val="1"/>
                <c:pt idx="0">
                  <c:v>  </c:v>
                </c:pt>
              </c:strCache>
            </c:strRef>
          </c:tx>
          <c:spPr>
            <a:solidFill>
              <a:schemeClr val="tx2">
                <a:lumMod val="20000"/>
                <a:lumOff val="80000"/>
              </a:schemeClr>
            </a:solidFill>
          </c:spPr>
          <c:invertIfNegative val="0"/>
          <c:dLbls>
            <c:dLbl>
              <c:idx val="4"/>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B66-42AB-9F26-C88F23B28AD6}"/>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'Rhaniad y Ddeiliadaeth (C&amp;De-o)'!$C$92:$G$92</c:f>
            </c:multiLvlStrRef>
          </c:cat>
          <c:val>
            <c:numRef>
              <c:f>'Rhaniad y Ddeiliadaeth (C&amp;De-o)'!$C$96:$G$96</c:f>
              <c:numCache>
                <c:formatCode>_-* #,##0_-;\-* #,##0_-;_-* "-"??_-;_-@_-</c:formatCode>
                <c:ptCount val="5"/>
                <c:pt idx="0">
                  <c:v>0</c:v>
                </c:pt>
                <c:pt idx="1">
                  <c:v>0</c:v>
                </c:pt>
                <c:pt idx="2">
                  <c:v>0</c:v>
                </c:pt>
                <c:pt idx="3">
                  <c:v>0</c:v>
                </c:pt>
                <c:pt idx="4">
                  <c:v>0</c:v>
                </c:pt>
              </c:numCache>
            </c:numRef>
          </c:val>
          <c:extLst>
            <c:ext xmlns:c16="http://schemas.microsoft.com/office/drawing/2014/chart" uri="{C3380CC4-5D6E-409C-BE32-E72D297353CC}">
              <c16:uniqueId val="{00000004-9B66-42AB-9F26-C88F23B28AD6}"/>
            </c:ext>
          </c:extLst>
        </c:ser>
        <c:dLbls>
          <c:showLegendKey val="0"/>
          <c:showVal val="0"/>
          <c:showCatName val="0"/>
          <c:showSerName val="0"/>
          <c:showPercent val="0"/>
          <c:showBubbleSize val="0"/>
        </c:dLbls>
        <c:gapWidth val="163"/>
        <c:overlap val="100"/>
        <c:axId val="254655488"/>
        <c:axId val="254849792"/>
      </c:barChart>
      <c:catAx>
        <c:axId val="254655488"/>
        <c:scaling>
          <c:orientation val="minMax"/>
        </c:scaling>
        <c:delete val="0"/>
        <c:axPos val="b"/>
        <c:numFmt formatCode="General" sourceLinked="1"/>
        <c:majorTickMark val="out"/>
        <c:minorTickMark val="none"/>
        <c:tickLblPos val="nextTo"/>
        <c:crossAx val="254849792"/>
        <c:crosses val="autoZero"/>
        <c:auto val="1"/>
        <c:lblAlgn val="ctr"/>
        <c:lblOffset val="100"/>
        <c:noMultiLvlLbl val="0"/>
      </c:catAx>
      <c:valAx>
        <c:axId val="254849792"/>
        <c:scaling>
          <c:orientation val="minMax"/>
          <c:max val="3000"/>
          <c:min val="0"/>
        </c:scaling>
        <c:delete val="0"/>
        <c:axPos val="l"/>
        <c:numFmt formatCode="#,##0" sourceLinked="0"/>
        <c:majorTickMark val="out"/>
        <c:minorTickMark val="none"/>
        <c:tickLblPos val="nextTo"/>
        <c:crossAx val="254655488"/>
        <c:crosses val="autoZero"/>
        <c:crossBetween val="between"/>
        <c:majorUnit val="1000"/>
      </c:valAx>
    </c:plotArea>
    <c:legend>
      <c:legendPos val="b"/>
      <c:overlay val="0"/>
    </c:legend>
    <c:plotVisOnly val="1"/>
    <c:dispBlanksAs val="gap"/>
    <c:showDLblsOverMax val="0"/>
  </c:chart>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aseline="0"/>
            </a:pPr>
            <a:r>
              <a:rPr lang="en-GB" sz="1400" b="1" i="0" baseline="0">
                <a:effectLst/>
              </a:rPr>
              <a:t>Angen o ran Tai: Rhagdybiaethau Defnyddwyr ar gyfer Rhaniad Deiliadaeth 5 Mlynedd (Canolbarth a De-orllewin Cymru) </a:t>
            </a:r>
            <a:endParaRPr lang="en-GB" sz="1400" baseline="0">
              <a:effectLst/>
            </a:endParaRPr>
          </a:p>
        </c:rich>
      </c:tx>
      <c:overlay val="0"/>
    </c:title>
    <c:autoTitleDeleted val="0"/>
    <c:plotArea>
      <c:layout/>
      <c:pieChart>
        <c:varyColors val="1"/>
        <c:ser>
          <c:idx val="0"/>
          <c:order val="0"/>
          <c:dPt>
            <c:idx val="0"/>
            <c:bubble3D val="0"/>
            <c:spPr>
              <a:solidFill>
                <a:schemeClr val="tx2">
                  <a:lumMod val="75000"/>
                </a:schemeClr>
              </a:solidFill>
            </c:spPr>
            <c:extLst>
              <c:ext xmlns:c16="http://schemas.microsoft.com/office/drawing/2014/chart" uri="{C3380CC4-5D6E-409C-BE32-E72D297353CC}">
                <c16:uniqueId val="{00000001-0338-452E-89CA-179103A182B0}"/>
              </c:ext>
            </c:extLst>
          </c:dPt>
          <c:dPt>
            <c:idx val="1"/>
            <c:bubble3D val="0"/>
            <c:spPr>
              <a:solidFill>
                <a:schemeClr val="tx2">
                  <a:lumMod val="60000"/>
                  <a:lumOff val="40000"/>
                </a:schemeClr>
              </a:solidFill>
            </c:spPr>
            <c:extLst>
              <c:ext xmlns:c16="http://schemas.microsoft.com/office/drawing/2014/chart" uri="{C3380CC4-5D6E-409C-BE32-E72D297353CC}">
                <c16:uniqueId val="{00000003-0338-452E-89CA-179103A182B0}"/>
              </c:ext>
            </c:extLst>
          </c:dPt>
          <c:dPt>
            <c:idx val="2"/>
            <c:bubble3D val="0"/>
            <c:spPr>
              <a:solidFill>
                <a:schemeClr val="accent1">
                  <a:lumMod val="60000"/>
                  <a:lumOff val="40000"/>
                </a:schemeClr>
              </a:solidFill>
            </c:spPr>
            <c:extLst>
              <c:ext xmlns:c16="http://schemas.microsoft.com/office/drawing/2014/chart" uri="{C3380CC4-5D6E-409C-BE32-E72D297353CC}">
                <c16:uniqueId val="{00000005-0338-452E-89CA-179103A182B0}"/>
              </c:ext>
            </c:extLst>
          </c:dPt>
          <c:dPt>
            <c:idx val="3"/>
            <c:bubble3D val="0"/>
            <c:spPr>
              <a:solidFill>
                <a:schemeClr val="tx2">
                  <a:lumMod val="20000"/>
                  <a:lumOff val="80000"/>
                </a:schemeClr>
              </a:solidFill>
            </c:spPr>
            <c:extLst>
              <c:ext xmlns:c16="http://schemas.microsoft.com/office/drawing/2014/chart" uri="{C3380CC4-5D6E-409C-BE32-E72D297353CC}">
                <c16:uniqueId val="{00000007-0338-452E-89CA-179103A182B0}"/>
              </c:ext>
            </c:extLst>
          </c:dPt>
          <c:dLbls>
            <c:spPr>
              <a:noFill/>
              <a:ln>
                <a:noFill/>
              </a:ln>
              <a:effectLst/>
            </c:spPr>
            <c:dLblPos val="ctr"/>
            <c:showLegendKey val="0"/>
            <c:showVal val="1"/>
            <c:showCatName val="0"/>
            <c:showSerName val="0"/>
            <c:showPercent val="0"/>
            <c:showBubbleSize val="0"/>
            <c:showLeaderLines val="1"/>
            <c:extLst>
              <c:ext xmlns:c15="http://schemas.microsoft.com/office/drawing/2012/chart" uri="{CE6537A1-D6FC-4f65-9D91-7224C49458BB}"/>
            </c:extLst>
          </c:dLbls>
          <c:cat>
            <c:multiLvlStrRef>
              <c:f>'Rhaniad y Ddeiliadaeth (C&amp;De-o)'!$B$101:$B$104</c:f>
            </c:multiLvlStrRef>
          </c:cat>
          <c:val>
            <c:numRef>
              <c:f>'Rhaniad y Ddeiliadaeth (C&amp;De-o)'!$I$101:$I$104</c:f>
              <c:numCache>
                <c:formatCode>0%</c:formatCode>
                <c:ptCount val="4"/>
                <c:pt idx="0">
                  <c:v>0</c:v>
                </c:pt>
                <c:pt idx="1">
                  <c:v>0</c:v>
                </c:pt>
                <c:pt idx="2">
                  <c:v>0</c:v>
                </c:pt>
                <c:pt idx="3">
                  <c:v>0</c:v>
                </c:pt>
              </c:numCache>
            </c:numRef>
          </c:val>
          <c:extLst>
            <c:ext xmlns:c16="http://schemas.microsoft.com/office/drawing/2014/chart" uri="{C3380CC4-5D6E-409C-BE32-E72D297353CC}">
              <c16:uniqueId val="{00000008-0338-452E-89CA-179103A182B0}"/>
            </c:ext>
          </c:extLst>
        </c:ser>
        <c:dLbls>
          <c:showLegendKey val="0"/>
          <c:showVal val="0"/>
          <c:showCatName val="0"/>
          <c:showSerName val="0"/>
          <c:showPercent val="0"/>
          <c:showBubbleSize val="0"/>
          <c:showLeaderLines val="1"/>
        </c:dLbls>
        <c:firstSliceAng val="0"/>
      </c:pieChart>
    </c:plotArea>
    <c:legend>
      <c:legendPos val="b"/>
      <c:overlay val="0"/>
      <c:txPr>
        <a:bodyPr/>
        <a:lstStyle/>
        <a:p>
          <a:pPr rtl="0">
            <a:defRPr/>
          </a:pPr>
          <a:endParaRPr lang="en-US"/>
        </a:p>
      </c:txPr>
    </c:legend>
    <c:plotVisOnly val="1"/>
    <c:dispBlanksAs val="gap"/>
    <c:showDLblsOverMax val="0"/>
  </c:chart>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aseline="0"/>
            </a:pPr>
            <a:r>
              <a:rPr lang="en-GB" sz="1400" b="1" i="0" baseline="0">
                <a:effectLst/>
              </a:rPr>
              <a:t>Angen Blynyddol o ran Rhaniad Deiliadaeth Tai - Rhagdybiaethau Defnyddwyr</a:t>
            </a:r>
            <a:endParaRPr lang="en-GB" sz="1400" baseline="0">
              <a:effectLst/>
            </a:endParaRPr>
          </a:p>
          <a:p>
            <a:pPr>
              <a:defRPr sz="1400" baseline="0"/>
            </a:pPr>
            <a:r>
              <a:rPr lang="en-GB" sz="1400" b="1" i="0" baseline="0">
                <a:effectLst/>
              </a:rPr>
              <a:t>(Canolbarth a De-orllewin Cymru)</a:t>
            </a:r>
            <a:endParaRPr lang="en-GB" sz="1400" baseline="0">
              <a:effectLst/>
            </a:endParaRPr>
          </a:p>
        </c:rich>
      </c:tx>
      <c:overlay val="0"/>
    </c:title>
    <c:autoTitleDeleted val="0"/>
    <c:plotArea>
      <c:layout/>
      <c:barChart>
        <c:barDir val="col"/>
        <c:grouping val="stacked"/>
        <c:varyColors val="0"/>
        <c:ser>
          <c:idx val="0"/>
          <c:order val="0"/>
          <c:tx>
            <c:strRef>
              <c:f>'Rhaniad y Ddeiliadaeth (C&amp;De-o)'!$B$57</c:f>
              <c:strCache>
                <c:ptCount val="1"/>
                <c:pt idx="0">
                  <c:v>Tai'r Farchnad</c:v>
                </c:pt>
              </c:strCache>
            </c:strRef>
          </c:tx>
          <c:spPr>
            <a:solidFill>
              <a:srgbClr val="2E75B6"/>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'Rhaniad y Ddeiliadaeth (C&amp;De-o)'!$C$56:$G$56</c:f>
              <c:strCache>
                <c:ptCount val="5"/>
                <c:pt idx="0">
                  <c:v>2018/19</c:v>
                </c:pt>
                <c:pt idx="1">
                  <c:v>2019/20</c:v>
                </c:pt>
                <c:pt idx="2">
                  <c:v>2020/21</c:v>
                </c:pt>
                <c:pt idx="3">
                  <c:v>2021/22</c:v>
                </c:pt>
                <c:pt idx="4">
                  <c:v>2022/23</c:v>
                </c:pt>
              </c:strCache>
            </c:strRef>
          </c:cat>
          <c:val>
            <c:numRef>
              <c:f>'Rhaniad y Ddeiliadaeth (C&amp;De-o)'!$C$57:$G$57</c:f>
              <c:numCache>
                <c:formatCode>_-* #,##0_-;\-* #,##0_-;_-* "-"??_-;_-@_-</c:formatCode>
                <c:ptCount val="5"/>
                <c:pt idx="0">
                  <c:v>1123.92</c:v>
                </c:pt>
                <c:pt idx="1">
                  <c:v>1076.67</c:v>
                </c:pt>
                <c:pt idx="2">
                  <c:v>1076.04</c:v>
                </c:pt>
                <c:pt idx="3">
                  <c:v>1151.01</c:v>
                </c:pt>
                <c:pt idx="4">
                  <c:v>1072.26</c:v>
                </c:pt>
              </c:numCache>
            </c:numRef>
          </c:val>
          <c:extLst>
            <c:ext xmlns:c16="http://schemas.microsoft.com/office/drawing/2014/chart" uri="{C3380CC4-5D6E-409C-BE32-E72D297353CC}">
              <c16:uniqueId val="{00000000-417F-4507-804A-8326DA43E07E}"/>
            </c:ext>
          </c:extLst>
        </c:ser>
        <c:ser>
          <c:idx val="1"/>
          <c:order val="1"/>
          <c:tx>
            <c:strRef>
              <c:f>'Rhaniad y Ddeiliadaeth (C&amp;De-o)'!$B$58</c:f>
              <c:strCache>
                <c:ptCount val="1"/>
                <c:pt idx="0">
                  <c:v>Tai Fforddiadwy</c:v>
                </c:pt>
              </c:strCache>
            </c:strRef>
          </c:tx>
          <c:spPr>
            <a:solidFill>
              <a:srgbClr val="9DC3E6"/>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'Rhaniad y Ddeiliadaeth (C&amp;De-o)'!$C$56:$G$56</c:f>
              <c:strCache>
                <c:ptCount val="5"/>
                <c:pt idx="0">
                  <c:v>2018/19</c:v>
                </c:pt>
                <c:pt idx="1">
                  <c:v>2019/20</c:v>
                </c:pt>
                <c:pt idx="2">
                  <c:v>2020/21</c:v>
                </c:pt>
                <c:pt idx="3">
                  <c:v>2021/22</c:v>
                </c:pt>
                <c:pt idx="4">
                  <c:v>2022/23</c:v>
                </c:pt>
              </c:strCache>
            </c:strRef>
          </c:cat>
          <c:val>
            <c:numRef>
              <c:f>'Rhaniad y Ddeiliadaeth (C&amp;De-o)'!$C$58:$G$58</c:f>
              <c:numCache>
                <c:formatCode>_-* #,##0_-;\-* #,##0_-;_-* "-"??_-;_-@_-</c:formatCode>
                <c:ptCount val="5"/>
                <c:pt idx="0">
                  <c:v>890.67999999999984</c:v>
                </c:pt>
                <c:pt idx="1">
                  <c:v>862.92999999999984</c:v>
                </c:pt>
                <c:pt idx="2">
                  <c:v>862.56</c:v>
                </c:pt>
                <c:pt idx="3">
                  <c:v>906.58999999999992</c:v>
                </c:pt>
                <c:pt idx="4">
                  <c:v>860.33999999999992</c:v>
                </c:pt>
              </c:numCache>
            </c:numRef>
          </c:val>
          <c:extLst>
            <c:ext xmlns:c16="http://schemas.microsoft.com/office/drawing/2014/chart" uri="{C3380CC4-5D6E-409C-BE32-E72D297353CC}">
              <c16:uniqueId val="{00000001-417F-4507-804A-8326DA43E07E}"/>
            </c:ext>
          </c:extLst>
        </c:ser>
        <c:dLbls>
          <c:showLegendKey val="0"/>
          <c:showVal val="0"/>
          <c:showCatName val="0"/>
          <c:showSerName val="0"/>
          <c:showPercent val="0"/>
          <c:showBubbleSize val="0"/>
        </c:dLbls>
        <c:gapWidth val="163"/>
        <c:overlap val="100"/>
        <c:axId val="254940288"/>
        <c:axId val="254941824"/>
      </c:barChart>
      <c:catAx>
        <c:axId val="254940288"/>
        <c:scaling>
          <c:orientation val="minMax"/>
        </c:scaling>
        <c:delete val="0"/>
        <c:axPos val="b"/>
        <c:numFmt formatCode="General" sourceLinked="1"/>
        <c:majorTickMark val="out"/>
        <c:minorTickMark val="none"/>
        <c:tickLblPos val="nextTo"/>
        <c:crossAx val="254941824"/>
        <c:crosses val="autoZero"/>
        <c:auto val="1"/>
        <c:lblAlgn val="ctr"/>
        <c:lblOffset val="100"/>
        <c:noMultiLvlLbl val="0"/>
      </c:catAx>
      <c:valAx>
        <c:axId val="254941824"/>
        <c:scaling>
          <c:orientation val="minMax"/>
          <c:max val="3000"/>
        </c:scaling>
        <c:delete val="0"/>
        <c:axPos val="l"/>
        <c:numFmt formatCode="#,##0" sourceLinked="0"/>
        <c:majorTickMark val="out"/>
        <c:minorTickMark val="none"/>
        <c:tickLblPos val="nextTo"/>
        <c:crossAx val="254940288"/>
        <c:crosses val="autoZero"/>
        <c:crossBetween val="between"/>
        <c:majorUnit val="1000"/>
      </c:valAx>
    </c:plotArea>
    <c:legend>
      <c:legendPos val="b"/>
      <c:overlay val="0"/>
    </c:legend>
    <c:plotVisOnly val="1"/>
    <c:dispBlanksAs val="gap"/>
    <c:showDLblsOverMax val="0"/>
  </c:chart>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en-GB" sz="1400" b="1" i="0" baseline="0">
                <a:effectLst/>
              </a:rPr>
              <a:t>Angen o ran Tai: Rhagdybiaethau Defnyddwyr ar gyfer Rhaniad Deiliadaeth 5 Mlynedd (Canolbarth a De-orllewin Cymru) </a:t>
            </a:r>
            <a:endParaRPr lang="en-GB" sz="1400" baseline="0">
              <a:effectLst/>
            </a:endParaRPr>
          </a:p>
        </c:rich>
      </c:tx>
      <c:overlay val="0"/>
    </c:title>
    <c:autoTitleDeleted val="0"/>
    <c:plotArea>
      <c:layout/>
      <c:pieChart>
        <c:varyColors val="1"/>
        <c:ser>
          <c:idx val="0"/>
          <c:order val="0"/>
          <c:dPt>
            <c:idx val="0"/>
            <c:bubble3D val="0"/>
            <c:spPr>
              <a:solidFill>
                <a:srgbClr val="2E75B6"/>
              </a:solidFill>
            </c:spPr>
            <c:extLst>
              <c:ext xmlns:c16="http://schemas.microsoft.com/office/drawing/2014/chart" uri="{C3380CC4-5D6E-409C-BE32-E72D297353CC}">
                <c16:uniqueId val="{00000001-1192-4196-B59F-BBF7FAF1DFB9}"/>
              </c:ext>
            </c:extLst>
          </c:dPt>
          <c:dPt>
            <c:idx val="1"/>
            <c:bubble3D val="0"/>
            <c:spPr>
              <a:solidFill>
                <a:srgbClr val="9DC3E6"/>
              </a:solidFill>
            </c:spPr>
            <c:extLst>
              <c:ext xmlns:c16="http://schemas.microsoft.com/office/drawing/2014/chart" uri="{C3380CC4-5D6E-409C-BE32-E72D297353CC}">
                <c16:uniqueId val="{00000003-1192-4196-B59F-BBF7FAF1DFB9}"/>
              </c:ext>
            </c:extLst>
          </c:dPt>
          <c:dPt>
            <c:idx val="2"/>
            <c:bubble3D val="0"/>
            <c:spPr>
              <a:solidFill>
                <a:schemeClr val="accent3">
                  <a:lumMod val="75000"/>
                </a:schemeClr>
              </a:solidFill>
            </c:spPr>
            <c:extLst>
              <c:ext xmlns:c16="http://schemas.microsoft.com/office/drawing/2014/chart" uri="{C3380CC4-5D6E-409C-BE32-E72D297353CC}">
                <c16:uniqueId val="{00000005-1192-4196-B59F-BBF7FAF1DFB9}"/>
              </c:ext>
            </c:extLst>
          </c:dPt>
          <c:dPt>
            <c:idx val="3"/>
            <c:bubble3D val="0"/>
            <c:spPr>
              <a:solidFill>
                <a:schemeClr val="accent3">
                  <a:lumMod val="60000"/>
                  <a:lumOff val="40000"/>
                </a:schemeClr>
              </a:solidFill>
            </c:spPr>
            <c:extLst>
              <c:ext xmlns:c16="http://schemas.microsoft.com/office/drawing/2014/chart" uri="{C3380CC4-5D6E-409C-BE32-E72D297353CC}">
                <c16:uniqueId val="{00000007-1192-4196-B59F-BBF7FAF1DFB9}"/>
              </c:ext>
            </c:extLst>
          </c:dPt>
          <c:dLbls>
            <c:spPr>
              <a:noFill/>
              <a:ln>
                <a:noFill/>
              </a:ln>
              <a:effectLst/>
            </c:spPr>
            <c:dLblPos val="ctr"/>
            <c:showLegendKey val="0"/>
            <c:showVal val="1"/>
            <c:showCatName val="0"/>
            <c:showSerName val="0"/>
            <c:showPercent val="0"/>
            <c:showBubbleSize val="0"/>
            <c:showLeaderLines val="1"/>
            <c:extLst>
              <c:ext xmlns:c15="http://schemas.microsoft.com/office/drawing/2012/chart" uri="{CE6537A1-D6FC-4f65-9D91-7224C49458BB}"/>
            </c:extLst>
          </c:dLbls>
          <c:cat>
            <c:strRef>
              <c:f>'Rhaniad y Ddeiliadaeth (C&amp;De-o)'!$B$62:$B$63</c:f>
              <c:strCache>
                <c:ptCount val="2"/>
                <c:pt idx="0">
                  <c:v>Tai'r Farchnad</c:v>
                </c:pt>
                <c:pt idx="1">
                  <c:v>Tai Fforddiadwy</c:v>
                </c:pt>
              </c:strCache>
            </c:strRef>
          </c:cat>
          <c:val>
            <c:numRef>
              <c:f>'Rhaniad y Ddeiliadaeth (C&amp;De-o)'!$I$62:$I$63</c:f>
              <c:numCache>
                <c:formatCode>0%</c:formatCode>
                <c:ptCount val="2"/>
                <c:pt idx="0">
                  <c:v>0.55650106243043618</c:v>
                </c:pt>
                <c:pt idx="1">
                  <c:v>0.44349893756956382</c:v>
                </c:pt>
              </c:numCache>
            </c:numRef>
          </c:val>
          <c:extLst>
            <c:ext xmlns:c16="http://schemas.microsoft.com/office/drawing/2014/chart" uri="{C3380CC4-5D6E-409C-BE32-E72D297353CC}">
              <c16:uniqueId val="{00000008-1192-4196-B59F-BBF7FAF1DFB9}"/>
            </c:ext>
          </c:extLst>
        </c:ser>
        <c:dLbls>
          <c:showLegendKey val="0"/>
          <c:showVal val="0"/>
          <c:showCatName val="0"/>
          <c:showSerName val="0"/>
          <c:showPercent val="0"/>
          <c:showBubbleSize val="0"/>
          <c:showLeaderLines val="1"/>
        </c:dLbls>
        <c:firstSliceAng val="0"/>
      </c:pieChart>
    </c:plotArea>
    <c:legend>
      <c:legendPos val="b"/>
      <c:overlay val="0"/>
      <c:txPr>
        <a:bodyPr/>
        <a:lstStyle/>
        <a:p>
          <a:pPr rtl="0">
            <a:defRPr/>
          </a:pPr>
          <a:endParaRPr lang="en-US"/>
        </a:p>
      </c:txPr>
    </c:legend>
    <c:plotVisOnly val="1"/>
    <c:dispBlanksAs val="gap"/>
    <c:showDLblsOverMax val="0"/>
  </c:chart>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aseline="0"/>
            </a:pPr>
            <a:r>
              <a:rPr lang="en-GB" sz="1400" b="1" i="0" baseline="0">
                <a:effectLst/>
              </a:rPr>
              <a:t>Angen Blynyddol o ran Rhaniad Daliadaeth Tai -</a:t>
            </a:r>
            <a:endParaRPr lang="en-GB" sz="1400" baseline="0">
              <a:effectLst/>
            </a:endParaRPr>
          </a:p>
          <a:p>
            <a:pPr>
              <a:defRPr sz="1400" baseline="0"/>
            </a:pPr>
            <a:r>
              <a:rPr lang="en-GB" sz="1400" b="1" i="0" baseline="0">
                <a:effectLst/>
              </a:rPr>
              <a:t>Rhagdybiaethau Defnyddwyr (De-ddwyrain Cymru)</a:t>
            </a:r>
            <a:endParaRPr lang="en-GB" sz="1400" baseline="0"/>
          </a:p>
        </c:rich>
      </c:tx>
      <c:overlay val="0"/>
    </c:title>
    <c:autoTitleDeleted val="0"/>
    <c:plotArea>
      <c:layout/>
      <c:barChart>
        <c:barDir val="col"/>
        <c:grouping val="stacked"/>
        <c:varyColors val="0"/>
        <c:ser>
          <c:idx val="0"/>
          <c:order val="0"/>
          <c:tx>
            <c:strRef>
              <c:f>'Rhaniad y Ddeiliadaeth (De-ddn)'!$B$93</c:f>
              <c:strCache>
                <c:ptCount val="1"/>
              </c:strCache>
            </c:strRef>
          </c:tx>
          <c:spPr>
            <a:solidFill>
              <a:schemeClr val="tx2">
                <a:lumMod val="75000"/>
              </a:schemeClr>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'Rhaniad y Ddeiliadaeth (De-ddn)'!$C$92:$G$92</c:f>
            </c:multiLvlStrRef>
          </c:cat>
          <c:val>
            <c:numRef>
              <c:f>'Rhaniad y Ddeiliadaeth (De-ddn)'!$C$93:$G$93</c:f>
              <c:numCache>
                <c:formatCode>_-* #,##0_-;\-* #,##0_-;_-* "-"??_-;_-@_-</c:formatCode>
                <c:ptCount val="5"/>
                <c:pt idx="0">
                  <c:v>0</c:v>
                </c:pt>
                <c:pt idx="1">
                  <c:v>0</c:v>
                </c:pt>
                <c:pt idx="2">
                  <c:v>0</c:v>
                </c:pt>
                <c:pt idx="3">
                  <c:v>0</c:v>
                </c:pt>
                <c:pt idx="4">
                  <c:v>0</c:v>
                </c:pt>
              </c:numCache>
            </c:numRef>
          </c:val>
          <c:extLst>
            <c:ext xmlns:c16="http://schemas.microsoft.com/office/drawing/2014/chart" uri="{C3380CC4-5D6E-409C-BE32-E72D297353CC}">
              <c16:uniqueId val="{00000000-3E11-402B-BA84-F0961ED254F4}"/>
            </c:ext>
          </c:extLst>
        </c:ser>
        <c:ser>
          <c:idx val="1"/>
          <c:order val="1"/>
          <c:tx>
            <c:strRef>
              <c:f>'Rhaniad y Ddeiliadaeth (De-ddn)'!$B$94</c:f>
              <c:strCache>
                <c:ptCount val="1"/>
              </c:strCache>
            </c:strRef>
          </c:tx>
          <c:spPr>
            <a:solidFill>
              <a:schemeClr val="tx2">
                <a:lumMod val="60000"/>
                <a:lumOff val="40000"/>
              </a:schemeClr>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'Rhaniad y Ddeiliadaeth (De-ddn)'!$C$92:$G$92</c:f>
            </c:multiLvlStrRef>
          </c:cat>
          <c:val>
            <c:numRef>
              <c:f>'Rhaniad y Ddeiliadaeth (De-ddn)'!$C$94:$G$94</c:f>
              <c:numCache>
                <c:formatCode>_-* #,##0_-;\-* #,##0_-;_-* "-"??_-;_-@_-</c:formatCode>
                <c:ptCount val="5"/>
                <c:pt idx="0">
                  <c:v>0</c:v>
                </c:pt>
                <c:pt idx="1">
                  <c:v>0</c:v>
                </c:pt>
                <c:pt idx="2">
                  <c:v>0</c:v>
                </c:pt>
                <c:pt idx="3">
                  <c:v>0</c:v>
                </c:pt>
                <c:pt idx="4">
                  <c:v>0</c:v>
                </c:pt>
              </c:numCache>
            </c:numRef>
          </c:val>
          <c:extLst>
            <c:ext xmlns:c16="http://schemas.microsoft.com/office/drawing/2014/chart" uri="{C3380CC4-5D6E-409C-BE32-E72D297353CC}">
              <c16:uniqueId val="{00000001-3E11-402B-BA84-F0961ED254F4}"/>
            </c:ext>
          </c:extLst>
        </c:ser>
        <c:ser>
          <c:idx val="2"/>
          <c:order val="2"/>
          <c:tx>
            <c:strRef>
              <c:f>'Rhaniad y Ddeiliadaeth (De-ddn)'!$B$95</c:f>
              <c:strCache>
                <c:ptCount val="1"/>
                <c:pt idx="0">
                  <c:v>  </c:v>
                </c:pt>
              </c:strCache>
            </c:strRef>
          </c:tx>
          <c:spPr>
            <a:solidFill>
              <a:schemeClr val="accent1">
                <a:lumMod val="60000"/>
                <a:lumOff val="40000"/>
              </a:schemeClr>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'Rhaniad y Ddeiliadaeth (De-ddn)'!$C$92:$G$92</c:f>
            </c:multiLvlStrRef>
          </c:cat>
          <c:val>
            <c:numRef>
              <c:f>'Rhaniad y Ddeiliadaeth (De-ddn)'!$C$95:$G$95</c:f>
              <c:numCache>
                <c:formatCode>_-* #,##0_-;\-* #,##0_-;_-* "-"??_-;_-@_-</c:formatCode>
                <c:ptCount val="5"/>
                <c:pt idx="0">
                  <c:v>0</c:v>
                </c:pt>
                <c:pt idx="1">
                  <c:v>0</c:v>
                </c:pt>
                <c:pt idx="2">
                  <c:v>0</c:v>
                </c:pt>
                <c:pt idx="3">
                  <c:v>0</c:v>
                </c:pt>
                <c:pt idx="4">
                  <c:v>0</c:v>
                </c:pt>
              </c:numCache>
            </c:numRef>
          </c:val>
          <c:extLst>
            <c:ext xmlns:c16="http://schemas.microsoft.com/office/drawing/2014/chart" uri="{C3380CC4-5D6E-409C-BE32-E72D297353CC}">
              <c16:uniqueId val="{00000002-3E11-402B-BA84-F0961ED254F4}"/>
            </c:ext>
          </c:extLst>
        </c:ser>
        <c:ser>
          <c:idx val="3"/>
          <c:order val="3"/>
          <c:tx>
            <c:strRef>
              <c:f>'Rhaniad y Ddeiliadaeth (De-ddn)'!$B$96</c:f>
              <c:strCache>
                <c:ptCount val="1"/>
                <c:pt idx="0">
                  <c:v>  </c:v>
                </c:pt>
              </c:strCache>
            </c:strRef>
          </c:tx>
          <c:spPr>
            <a:solidFill>
              <a:schemeClr val="accent1">
                <a:lumMod val="20000"/>
                <a:lumOff val="80000"/>
              </a:schemeClr>
            </a:solidFill>
          </c:spPr>
          <c:invertIfNegative val="0"/>
          <c:dLbls>
            <c:dLbl>
              <c:idx val="4"/>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E11-402B-BA84-F0961ED254F4}"/>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'Rhaniad y Ddeiliadaeth (De-ddn)'!$C$92:$G$92</c:f>
            </c:multiLvlStrRef>
          </c:cat>
          <c:val>
            <c:numRef>
              <c:f>'Rhaniad y Ddeiliadaeth (De-ddn)'!$C$96:$G$96</c:f>
              <c:numCache>
                <c:formatCode>_-* #,##0_-;\-* #,##0_-;_-* "-"??_-;_-@_-</c:formatCode>
                <c:ptCount val="5"/>
                <c:pt idx="0">
                  <c:v>0</c:v>
                </c:pt>
                <c:pt idx="1">
                  <c:v>0</c:v>
                </c:pt>
                <c:pt idx="2">
                  <c:v>0</c:v>
                </c:pt>
                <c:pt idx="3">
                  <c:v>0</c:v>
                </c:pt>
                <c:pt idx="4">
                  <c:v>0</c:v>
                </c:pt>
              </c:numCache>
            </c:numRef>
          </c:val>
          <c:extLst>
            <c:ext xmlns:c16="http://schemas.microsoft.com/office/drawing/2014/chart" uri="{C3380CC4-5D6E-409C-BE32-E72D297353CC}">
              <c16:uniqueId val="{00000004-3E11-402B-BA84-F0961ED254F4}"/>
            </c:ext>
          </c:extLst>
        </c:ser>
        <c:dLbls>
          <c:showLegendKey val="0"/>
          <c:showVal val="0"/>
          <c:showCatName val="0"/>
          <c:showSerName val="0"/>
          <c:showPercent val="0"/>
          <c:showBubbleSize val="0"/>
        </c:dLbls>
        <c:gapWidth val="163"/>
        <c:overlap val="100"/>
        <c:axId val="259471616"/>
        <c:axId val="259493888"/>
      </c:barChart>
      <c:catAx>
        <c:axId val="259471616"/>
        <c:scaling>
          <c:orientation val="minMax"/>
        </c:scaling>
        <c:delete val="0"/>
        <c:axPos val="b"/>
        <c:numFmt formatCode="General" sourceLinked="1"/>
        <c:majorTickMark val="out"/>
        <c:minorTickMark val="none"/>
        <c:tickLblPos val="nextTo"/>
        <c:crossAx val="259493888"/>
        <c:crosses val="autoZero"/>
        <c:auto val="1"/>
        <c:lblAlgn val="ctr"/>
        <c:lblOffset val="100"/>
        <c:noMultiLvlLbl val="0"/>
      </c:catAx>
      <c:valAx>
        <c:axId val="259493888"/>
        <c:scaling>
          <c:orientation val="minMax"/>
          <c:max val="6000"/>
          <c:min val="0"/>
        </c:scaling>
        <c:delete val="0"/>
        <c:axPos val="l"/>
        <c:numFmt formatCode="#,##0" sourceLinked="0"/>
        <c:majorTickMark val="out"/>
        <c:minorTickMark val="none"/>
        <c:tickLblPos val="nextTo"/>
        <c:crossAx val="259471616"/>
        <c:crosses val="autoZero"/>
        <c:crossBetween val="between"/>
        <c:majorUnit val="1000"/>
      </c:valAx>
    </c:plotArea>
    <c:legend>
      <c:legendPos val="b"/>
      <c:overlay val="0"/>
    </c:legend>
    <c:plotVisOnly val="1"/>
    <c:dispBlanksAs val="gap"/>
    <c:showDLblsOverMax val="0"/>
  </c:chart>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aseline="0"/>
            </a:pPr>
            <a:r>
              <a:rPr lang="en-GB" sz="1400" b="1" i="0" baseline="0">
                <a:effectLst/>
              </a:rPr>
              <a:t>Angen o ran Tai: Rhagdybiaethau Defnyddwyr ar gyfer Rhaniad Deiliadaeth 5 Mlynedd (De-ddwyrain Cymru)</a:t>
            </a:r>
          </a:p>
        </c:rich>
      </c:tx>
      <c:overlay val="0"/>
    </c:title>
    <c:autoTitleDeleted val="0"/>
    <c:plotArea>
      <c:layout/>
      <c:pieChart>
        <c:varyColors val="1"/>
        <c:ser>
          <c:idx val="0"/>
          <c:order val="0"/>
          <c:dPt>
            <c:idx val="0"/>
            <c:bubble3D val="0"/>
            <c:spPr>
              <a:solidFill>
                <a:schemeClr val="tx2">
                  <a:lumMod val="75000"/>
                </a:schemeClr>
              </a:solidFill>
            </c:spPr>
            <c:extLst>
              <c:ext xmlns:c16="http://schemas.microsoft.com/office/drawing/2014/chart" uri="{C3380CC4-5D6E-409C-BE32-E72D297353CC}">
                <c16:uniqueId val="{00000001-1B3E-44B1-8131-484D006E2B43}"/>
              </c:ext>
            </c:extLst>
          </c:dPt>
          <c:dPt>
            <c:idx val="1"/>
            <c:bubble3D val="0"/>
            <c:spPr>
              <a:solidFill>
                <a:schemeClr val="tx2">
                  <a:lumMod val="60000"/>
                  <a:lumOff val="40000"/>
                </a:schemeClr>
              </a:solidFill>
            </c:spPr>
            <c:extLst>
              <c:ext xmlns:c16="http://schemas.microsoft.com/office/drawing/2014/chart" uri="{C3380CC4-5D6E-409C-BE32-E72D297353CC}">
                <c16:uniqueId val="{00000003-1B3E-44B1-8131-484D006E2B43}"/>
              </c:ext>
            </c:extLst>
          </c:dPt>
          <c:dPt>
            <c:idx val="2"/>
            <c:bubble3D val="0"/>
            <c:spPr>
              <a:solidFill>
                <a:schemeClr val="accent1">
                  <a:lumMod val="60000"/>
                  <a:lumOff val="40000"/>
                </a:schemeClr>
              </a:solidFill>
            </c:spPr>
            <c:extLst>
              <c:ext xmlns:c16="http://schemas.microsoft.com/office/drawing/2014/chart" uri="{C3380CC4-5D6E-409C-BE32-E72D297353CC}">
                <c16:uniqueId val="{00000005-1B3E-44B1-8131-484D006E2B43}"/>
              </c:ext>
            </c:extLst>
          </c:dPt>
          <c:dPt>
            <c:idx val="3"/>
            <c:bubble3D val="0"/>
            <c:spPr>
              <a:solidFill>
                <a:schemeClr val="accent1">
                  <a:lumMod val="20000"/>
                  <a:lumOff val="80000"/>
                </a:schemeClr>
              </a:solidFill>
            </c:spPr>
            <c:extLst>
              <c:ext xmlns:c16="http://schemas.microsoft.com/office/drawing/2014/chart" uri="{C3380CC4-5D6E-409C-BE32-E72D297353CC}">
                <c16:uniqueId val="{00000007-1B3E-44B1-8131-484D006E2B43}"/>
              </c:ext>
            </c:extLst>
          </c:dPt>
          <c:dLbls>
            <c:spPr>
              <a:noFill/>
              <a:ln>
                <a:noFill/>
              </a:ln>
              <a:effectLst/>
            </c:spPr>
            <c:dLblPos val="ctr"/>
            <c:showLegendKey val="0"/>
            <c:showVal val="1"/>
            <c:showCatName val="0"/>
            <c:showSerName val="0"/>
            <c:showPercent val="0"/>
            <c:showBubbleSize val="0"/>
            <c:showLeaderLines val="1"/>
            <c:extLst>
              <c:ext xmlns:c15="http://schemas.microsoft.com/office/drawing/2012/chart" uri="{CE6537A1-D6FC-4f65-9D91-7224C49458BB}"/>
            </c:extLst>
          </c:dLbls>
          <c:cat>
            <c:multiLvlStrRef>
              <c:f>'Rhaniad y Ddeiliadaeth (De-ddn)'!$B$101:$B$104</c:f>
            </c:multiLvlStrRef>
          </c:cat>
          <c:val>
            <c:numRef>
              <c:f>'Rhaniad y Ddeiliadaeth (De-ddn)'!$I$101:$I$104</c:f>
              <c:numCache>
                <c:formatCode>0%</c:formatCode>
                <c:ptCount val="4"/>
                <c:pt idx="0">
                  <c:v>0</c:v>
                </c:pt>
                <c:pt idx="1">
                  <c:v>0</c:v>
                </c:pt>
                <c:pt idx="2">
                  <c:v>0</c:v>
                </c:pt>
                <c:pt idx="3">
                  <c:v>0</c:v>
                </c:pt>
              </c:numCache>
            </c:numRef>
          </c:val>
          <c:extLst>
            <c:ext xmlns:c16="http://schemas.microsoft.com/office/drawing/2014/chart" uri="{C3380CC4-5D6E-409C-BE32-E72D297353CC}">
              <c16:uniqueId val="{00000008-1B3E-44B1-8131-484D006E2B43}"/>
            </c:ext>
          </c:extLst>
        </c:ser>
        <c:dLbls>
          <c:showLegendKey val="0"/>
          <c:showVal val="0"/>
          <c:showCatName val="0"/>
          <c:showSerName val="0"/>
          <c:showPercent val="0"/>
          <c:showBubbleSize val="0"/>
          <c:showLeaderLines val="1"/>
        </c:dLbls>
        <c:firstSliceAng val="0"/>
      </c:pieChart>
    </c:plotArea>
    <c:legend>
      <c:legendPos val="b"/>
      <c:overlay val="0"/>
      <c:txPr>
        <a:bodyPr/>
        <a:lstStyle/>
        <a:p>
          <a:pPr rtl="0">
            <a:defRPr/>
          </a:pPr>
          <a:endParaRPr lang="en-US"/>
        </a:p>
      </c:txPr>
    </c:legend>
    <c:plotVisOnly val="1"/>
    <c:dispBlanksAs val="gap"/>
    <c:showDLblsOverMax val="0"/>
  </c:chart>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aseline="0"/>
            </a:pPr>
            <a:r>
              <a:rPr lang="en-GB" sz="1400" b="1" i="0" baseline="0">
                <a:effectLst/>
              </a:rPr>
              <a:t>Angen Blynyddol o ran Rhaniad Deiliadaeth Tai - Rhagdybiaethau Defnyddwyr (De-ddwyrain Cymru) </a:t>
            </a:r>
            <a:endParaRPr lang="en-GB" sz="1400" baseline="0">
              <a:effectLst/>
            </a:endParaRPr>
          </a:p>
        </c:rich>
      </c:tx>
      <c:overlay val="0"/>
    </c:title>
    <c:autoTitleDeleted val="0"/>
    <c:plotArea>
      <c:layout/>
      <c:barChart>
        <c:barDir val="col"/>
        <c:grouping val="stacked"/>
        <c:varyColors val="0"/>
        <c:ser>
          <c:idx val="0"/>
          <c:order val="0"/>
          <c:tx>
            <c:strRef>
              <c:f>'Rhaniad y Ddeiliadaeth (De-ddn)'!$B$57</c:f>
              <c:strCache>
                <c:ptCount val="1"/>
                <c:pt idx="0">
                  <c:v>Tai'r Farchnad</c:v>
                </c:pt>
              </c:strCache>
            </c:strRef>
          </c:tx>
          <c:spPr>
            <a:solidFill>
              <a:srgbClr val="2E75B6"/>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'Rhaniad y Ddeiliadaeth (De-ddn)'!$C$56:$G$56</c:f>
              <c:strCache>
                <c:ptCount val="5"/>
                <c:pt idx="0">
                  <c:v>2018/19</c:v>
                </c:pt>
                <c:pt idx="1">
                  <c:v>2019/20</c:v>
                </c:pt>
                <c:pt idx="2">
                  <c:v>2020/21</c:v>
                </c:pt>
                <c:pt idx="3">
                  <c:v>2021/22</c:v>
                </c:pt>
                <c:pt idx="4">
                  <c:v>2022/23</c:v>
                </c:pt>
              </c:strCache>
            </c:strRef>
          </c:cat>
          <c:val>
            <c:numRef>
              <c:f>'Rhaniad y Ddeiliadaeth (De-ddn)'!$C$57:$G$57</c:f>
              <c:numCache>
                <c:formatCode>_-* #,##0_-;\-* #,##0_-;_-* "-"??_-;_-@_-</c:formatCode>
                <c:ptCount val="5"/>
                <c:pt idx="0">
                  <c:v>2432.4</c:v>
                </c:pt>
                <c:pt idx="1">
                  <c:v>2369.4</c:v>
                </c:pt>
                <c:pt idx="2">
                  <c:v>2412.6</c:v>
                </c:pt>
                <c:pt idx="3">
                  <c:v>2571</c:v>
                </c:pt>
                <c:pt idx="4">
                  <c:v>2465.4</c:v>
                </c:pt>
              </c:numCache>
            </c:numRef>
          </c:val>
          <c:extLst>
            <c:ext xmlns:c16="http://schemas.microsoft.com/office/drawing/2014/chart" uri="{C3380CC4-5D6E-409C-BE32-E72D297353CC}">
              <c16:uniqueId val="{00000000-8C17-498D-8CA2-07E0678DB670}"/>
            </c:ext>
          </c:extLst>
        </c:ser>
        <c:ser>
          <c:idx val="1"/>
          <c:order val="1"/>
          <c:tx>
            <c:strRef>
              <c:f>'Rhaniad y Ddeiliadaeth (De-ddn)'!$B$58</c:f>
              <c:strCache>
                <c:ptCount val="1"/>
                <c:pt idx="0">
                  <c:v>Tai Fforddiadwy</c:v>
                </c:pt>
              </c:strCache>
            </c:strRef>
          </c:tx>
          <c:spPr>
            <a:solidFill>
              <a:srgbClr val="9DC3E6"/>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'Rhaniad y Ddeiliadaeth (De-ddn)'!$C$56:$G$56</c:f>
              <c:strCache>
                <c:ptCount val="5"/>
                <c:pt idx="0">
                  <c:v>2018/19</c:v>
                </c:pt>
                <c:pt idx="1">
                  <c:v>2019/20</c:v>
                </c:pt>
                <c:pt idx="2">
                  <c:v>2020/21</c:v>
                </c:pt>
                <c:pt idx="3">
                  <c:v>2021/22</c:v>
                </c:pt>
                <c:pt idx="4">
                  <c:v>2022/23</c:v>
                </c:pt>
              </c:strCache>
            </c:strRef>
          </c:cat>
          <c:val>
            <c:numRef>
              <c:f>'Rhaniad y Ddeiliadaeth (De-ddn)'!$C$58:$G$58</c:f>
              <c:numCache>
                <c:formatCode>_-* #,##0_-;\-* #,##0_-;_-* "-"??_-;_-@_-</c:formatCode>
                <c:ptCount val="5"/>
                <c:pt idx="0">
                  <c:v>2270.9999999999995</c:v>
                </c:pt>
                <c:pt idx="1">
                  <c:v>2228.9999999999995</c:v>
                </c:pt>
                <c:pt idx="2">
                  <c:v>2257.7999999999997</c:v>
                </c:pt>
                <c:pt idx="3">
                  <c:v>2363.3999999999996</c:v>
                </c:pt>
                <c:pt idx="4">
                  <c:v>2292.9999999999995</c:v>
                </c:pt>
              </c:numCache>
            </c:numRef>
          </c:val>
          <c:extLst>
            <c:ext xmlns:c16="http://schemas.microsoft.com/office/drawing/2014/chart" uri="{C3380CC4-5D6E-409C-BE32-E72D297353CC}">
              <c16:uniqueId val="{00000001-8C17-498D-8CA2-07E0678DB670}"/>
            </c:ext>
          </c:extLst>
        </c:ser>
        <c:dLbls>
          <c:showLegendKey val="0"/>
          <c:showVal val="0"/>
          <c:showCatName val="0"/>
          <c:showSerName val="0"/>
          <c:showPercent val="0"/>
          <c:showBubbleSize val="0"/>
        </c:dLbls>
        <c:gapWidth val="163"/>
        <c:overlap val="100"/>
        <c:axId val="261727744"/>
        <c:axId val="261729280"/>
      </c:barChart>
      <c:catAx>
        <c:axId val="261727744"/>
        <c:scaling>
          <c:orientation val="minMax"/>
        </c:scaling>
        <c:delete val="0"/>
        <c:axPos val="b"/>
        <c:numFmt formatCode="General" sourceLinked="1"/>
        <c:majorTickMark val="out"/>
        <c:minorTickMark val="none"/>
        <c:tickLblPos val="nextTo"/>
        <c:crossAx val="261729280"/>
        <c:crosses val="autoZero"/>
        <c:auto val="1"/>
        <c:lblAlgn val="ctr"/>
        <c:lblOffset val="100"/>
        <c:noMultiLvlLbl val="0"/>
      </c:catAx>
      <c:valAx>
        <c:axId val="261729280"/>
        <c:scaling>
          <c:orientation val="minMax"/>
          <c:max val="6000"/>
        </c:scaling>
        <c:delete val="0"/>
        <c:axPos val="l"/>
        <c:numFmt formatCode="#,##0" sourceLinked="0"/>
        <c:majorTickMark val="out"/>
        <c:minorTickMark val="none"/>
        <c:tickLblPos val="nextTo"/>
        <c:crossAx val="261727744"/>
        <c:crosses val="autoZero"/>
        <c:crossBetween val="between"/>
        <c:majorUnit val="1000"/>
      </c:valAx>
    </c:plotArea>
    <c:legend>
      <c:legendPos val="b"/>
      <c:overlay val="0"/>
    </c:legend>
    <c:plotVisOnly val="1"/>
    <c:dispBlanksAs val="gap"/>
    <c:showDLblsOverMax val="0"/>
  </c:chart>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aseline="0"/>
            </a:pPr>
            <a:r>
              <a:rPr lang="en-GB" sz="1400" b="1" i="0" baseline="0">
                <a:effectLst/>
              </a:rPr>
              <a:t>Angen o ran Tai: Rhagdybiaethau Defnyddwyr ar gyfer Rhaniad Deiliadaeth 5 Mlynedd (De-ddwyrain Cymru)</a:t>
            </a:r>
            <a:endParaRPr lang="en-GB" sz="1400" baseline="0"/>
          </a:p>
        </c:rich>
      </c:tx>
      <c:overlay val="0"/>
    </c:title>
    <c:autoTitleDeleted val="0"/>
    <c:plotArea>
      <c:layout/>
      <c:pieChart>
        <c:varyColors val="1"/>
        <c:ser>
          <c:idx val="0"/>
          <c:order val="0"/>
          <c:dPt>
            <c:idx val="0"/>
            <c:bubble3D val="0"/>
            <c:spPr>
              <a:solidFill>
                <a:srgbClr val="2E75B6"/>
              </a:solidFill>
            </c:spPr>
            <c:extLst>
              <c:ext xmlns:c16="http://schemas.microsoft.com/office/drawing/2014/chart" uri="{C3380CC4-5D6E-409C-BE32-E72D297353CC}">
                <c16:uniqueId val="{00000001-24F2-4506-A120-BB0D897609FC}"/>
              </c:ext>
            </c:extLst>
          </c:dPt>
          <c:dPt>
            <c:idx val="1"/>
            <c:bubble3D val="0"/>
            <c:spPr>
              <a:solidFill>
                <a:srgbClr val="9DC3E6"/>
              </a:solidFill>
            </c:spPr>
            <c:extLst>
              <c:ext xmlns:c16="http://schemas.microsoft.com/office/drawing/2014/chart" uri="{C3380CC4-5D6E-409C-BE32-E72D297353CC}">
                <c16:uniqueId val="{00000003-24F2-4506-A120-BB0D897609FC}"/>
              </c:ext>
            </c:extLst>
          </c:dPt>
          <c:dPt>
            <c:idx val="2"/>
            <c:bubble3D val="0"/>
            <c:spPr>
              <a:solidFill>
                <a:schemeClr val="accent3">
                  <a:lumMod val="75000"/>
                </a:schemeClr>
              </a:solidFill>
            </c:spPr>
            <c:extLst>
              <c:ext xmlns:c16="http://schemas.microsoft.com/office/drawing/2014/chart" uri="{C3380CC4-5D6E-409C-BE32-E72D297353CC}">
                <c16:uniqueId val="{00000005-24F2-4506-A120-BB0D897609FC}"/>
              </c:ext>
            </c:extLst>
          </c:dPt>
          <c:dPt>
            <c:idx val="3"/>
            <c:bubble3D val="0"/>
            <c:spPr>
              <a:solidFill>
                <a:schemeClr val="accent3">
                  <a:lumMod val="60000"/>
                  <a:lumOff val="40000"/>
                </a:schemeClr>
              </a:solidFill>
            </c:spPr>
            <c:extLst>
              <c:ext xmlns:c16="http://schemas.microsoft.com/office/drawing/2014/chart" uri="{C3380CC4-5D6E-409C-BE32-E72D297353CC}">
                <c16:uniqueId val="{00000007-24F2-4506-A120-BB0D897609FC}"/>
              </c:ext>
            </c:extLst>
          </c:dPt>
          <c:dLbls>
            <c:spPr>
              <a:noFill/>
              <a:ln>
                <a:noFill/>
              </a:ln>
              <a:effectLst/>
            </c:spPr>
            <c:dLblPos val="ctr"/>
            <c:showLegendKey val="0"/>
            <c:showVal val="1"/>
            <c:showCatName val="0"/>
            <c:showSerName val="0"/>
            <c:showPercent val="0"/>
            <c:showBubbleSize val="0"/>
            <c:showLeaderLines val="1"/>
            <c:extLst>
              <c:ext xmlns:c15="http://schemas.microsoft.com/office/drawing/2012/chart" uri="{CE6537A1-D6FC-4f65-9D91-7224C49458BB}"/>
            </c:extLst>
          </c:dLbls>
          <c:cat>
            <c:strRef>
              <c:f>'Rhaniad y Ddeiliadaeth (De-ddn)'!$B$62:$B$63</c:f>
              <c:strCache>
                <c:ptCount val="2"/>
                <c:pt idx="0">
                  <c:v>Tai'r Farchnad</c:v>
                </c:pt>
                <c:pt idx="1">
                  <c:v>Tai Fforddiadwy</c:v>
                </c:pt>
              </c:strCache>
            </c:strRef>
          </c:cat>
          <c:val>
            <c:numRef>
              <c:f>'Rhaniad y Ddeiliadaeth (De-ddn)'!$I$62:$I$63</c:f>
              <c:numCache>
                <c:formatCode>0%</c:formatCode>
                <c:ptCount val="2"/>
                <c:pt idx="0">
                  <c:v>0.51767589266849778</c:v>
                </c:pt>
                <c:pt idx="1">
                  <c:v>0.48232410733150216</c:v>
                </c:pt>
              </c:numCache>
            </c:numRef>
          </c:val>
          <c:extLst>
            <c:ext xmlns:c16="http://schemas.microsoft.com/office/drawing/2014/chart" uri="{C3380CC4-5D6E-409C-BE32-E72D297353CC}">
              <c16:uniqueId val="{00000008-24F2-4506-A120-BB0D897609FC}"/>
            </c:ext>
          </c:extLst>
        </c:ser>
        <c:dLbls>
          <c:showLegendKey val="0"/>
          <c:showVal val="0"/>
          <c:showCatName val="0"/>
          <c:showSerName val="0"/>
          <c:showPercent val="0"/>
          <c:showBubbleSize val="0"/>
          <c:showLeaderLines val="1"/>
        </c:dLbls>
        <c:firstSliceAng val="0"/>
      </c:pieChart>
    </c:plotArea>
    <c:legend>
      <c:legendPos val="b"/>
      <c:overlay val="0"/>
      <c:txPr>
        <a:bodyPr/>
        <a:lstStyle/>
        <a:p>
          <a:pPr rtl="0">
            <a:defRPr/>
          </a:pPr>
          <a:endParaRPr lang="en-US"/>
        </a:p>
      </c:txPr>
    </c:legend>
    <c:plotVisOnly val="1"/>
    <c:dispBlanksAs val="gap"/>
    <c:showDLblsOverMax val="0"/>
  </c:chart>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hyperlink" Target="#'Map Rhanbarthol'!A1"/><Relationship Id="rId2" Type="http://schemas.openxmlformats.org/officeDocument/2006/relationships/hyperlink" Target="#'Canllawiau ar Newidynnau'!A1"/><Relationship Id="rId1" Type="http://schemas.openxmlformats.org/officeDocument/2006/relationships/image" Target="../media/image1.png"/><Relationship Id="rId5" Type="http://schemas.openxmlformats.org/officeDocument/2006/relationships/image" Target="../media/image2.png"/><Relationship Id="rId4" Type="http://schemas.openxmlformats.org/officeDocument/2006/relationships/hyperlink" Target="#Cyngor!A1"/></Relationships>
</file>

<file path=xl/drawings/_rels/drawing2.xml.rels><?xml version="1.0" encoding="UTF-8" standalone="yes"?>
<Relationships xmlns="http://schemas.openxmlformats.org/package/2006/relationships"><Relationship Id="rId3" Type="http://schemas.openxmlformats.org/officeDocument/2006/relationships/hyperlink" Target="#'Rhaniad y Ddeiliadaeth (C&amp;De-o)'!A1"/><Relationship Id="rId2" Type="http://schemas.openxmlformats.org/officeDocument/2006/relationships/hyperlink" Target="#'Rhaniad y Ddeiliadaeth (Gog)'!A1"/><Relationship Id="rId1" Type="http://schemas.openxmlformats.org/officeDocument/2006/relationships/hyperlink" Target="#'Rhaniad y Ddeiliadaeth (Cymru)'!A1"/><Relationship Id="rId5" Type="http://schemas.openxmlformats.org/officeDocument/2006/relationships/hyperlink" Target="#'Map Rhanbarthol'!A1"/><Relationship Id="rId4" Type="http://schemas.openxmlformats.org/officeDocument/2006/relationships/hyperlink" Target="#'Rhaniad y Ddeiliadaeth (De-ddn)'!A1"/></Relationships>
</file>

<file path=xl/drawings/_rels/drawing3.xml.rels><?xml version="1.0" encoding="UTF-8" standalone="yes"?>
<Relationships xmlns="http://schemas.openxmlformats.org/package/2006/relationships"><Relationship Id="rId3" Type="http://schemas.openxmlformats.org/officeDocument/2006/relationships/hyperlink" Target="#'Rhaniad y Ddeiliadaeth (C&amp;De-o)'!A1"/><Relationship Id="rId2" Type="http://schemas.openxmlformats.org/officeDocument/2006/relationships/hyperlink" Target="#'Rhaniad y Ddeiliadaeth (Gog)'!A1"/><Relationship Id="rId1" Type="http://schemas.openxmlformats.org/officeDocument/2006/relationships/hyperlink" Target="#'Rhaniad y Ddeiliadaeth (Cymru)'!A1"/><Relationship Id="rId5" Type="http://schemas.openxmlformats.org/officeDocument/2006/relationships/hyperlink" Target="#'Tudalen Flaen'!A1"/><Relationship Id="rId4" Type="http://schemas.openxmlformats.org/officeDocument/2006/relationships/hyperlink" Target="#'Rhaniad y Ddeiliadaeth (De-ddn)'!A1"/></Relationships>
</file>

<file path=xl/drawings/_rels/drawing4.xml.rels><?xml version="1.0" encoding="UTF-8" standalone="yes"?>
<Relationships xmlns="http://schemas.openxmlformats.org/package/2006/relationships"><Relationship Id="rId8" Type="http://schemas.openxmlformats.org/officeDocument/2006/relationships/hyperlink" Target="#'Prisiau Rhenti'!A1"/><Relationship Id="rId13" Type="http://schemas.openxmlformats.org/officeDocument/2006/relationships/hyperlink" Target="#Cyngor!A1"/><Relationship Id="rId3" Type="http://schemas.openxmlformats.org/officeDocument/2006/relationships/hyperlink" Target="#'Rhagolygon y Dyfodol'!A1"/><Relationship Id="rId7" Type="http://schemas.openxmlformats.org/officeDocument/2006/relationships/hyperlink" Target="#'Prisiau Tai (Cymru)'!A1"/><Relationship Id="rId12" Type="http://schemas.openxmlformats.org/officeDocument/2006/relationships/chart" Target="../charts/chart4.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hyperlink" Target="#'Incwm (Cymru)'!A1"/><Relationship Id="rId11" Type="http://schemas.openxmlformats.org/officeDocument/2006/relationships/chart" Target="../charts/chart3.xml"/><Relationship Id="rId5" Type="http://schemas.openxmlformats.org/officeDocument/2006/relationships/hyperlink" Target="#'Angen Presennol Nas Diwallwyd'!A1"/><Relationship Id="rId10" Type="http://schemas.openxmlformats.org/officeDocument/2006/relationships/hyperlink" Target="#'Canllawiau ar Newidynnau'!A1"/><Relationship Id="rId4" Type="http://schemas.openxmlformats.org/officeDocument/2006/relationships/hyperlink" Target="#'Amcanestyniadau o Aelwyd'!A1"/><Relationship Id="rId9" Type="http://schemas.openxmlformats.org/officeDocument/2006/relationships/hyperlink" Target="#'Rhagdybiaeth Blynyddol'!A1"/></Relationships>
</file>

<file path=xl/drawings/_rels/drawing5.xml.rels><?xml version="1.0" encoding="UTF-8" standalone="yes"?>
<Relationships xmlns="http://schemas.openxmlformats.org/package/2006/relationships"><Relationship Id="rId8" Type="http://schemas.openxmlformats.org/officeDocument/2006/relationships/hyperlink" Target="#'Prisiau Rhenti'!A1"/><Relationship Id="rId13" Type="http://schemas.openxmlformats.org/officeDocument/2006/relationships/hyperlink" Target="#'Map Rhanbarthol'!A1"/><Relationship Id="rId3" Type="http://schemas.openxmlformats.org/officeDocument/2006/relationships/hyperlink" Target="#'Rhagolygon y Dyfodol'!A1"/><Relationship Id="rId7" Type="http://schemas.openxmlformats.org/officeDocument/2006/relationships/hyperlink" Target="#'Prisiau Tai (Gogledd)'!A1"/><Relationship Id="rId12" Type="http://schemas.openxmlformats.org/officeDocument/2006/relationships/chart" Target="../charts/chart8.xml"/><Relationship Id="rId2" Type="http://schemas.openxmlformats.org/officeDocument/2006/relationships/chart" Target="../charts/chart6.xml"/><Relationship Id="rId1" Type="http://schemas.openxmlformats.org/officeDocument/2006/relationships/chart" Target="../charts/chart5.xml"/><Relationship Id="rId6" Type="http://schemas.openxmlformats.org/officeDocument/2006/relationships/hyperlink" Target="#'Incwm (Gogledd)'!A1"/><Relationship Id="rId11" Type="http://schemas.openxmlformats.org/officeDocument/2006/relationships/chart" Target="../charts/chart7.xml"/><Relationship Id="rId5" Type="http://schemas.openxmlformats.org/officeDocument/2006/relationships/hyperlink" Target="#'Angen Presennol Nas Diwallwyd'!A1"/><Relationship Id="rId10" Type="http://schemas.openxmlformats.org/officeDocument/2006/relationships/hyperlink" Target="#'Canllawiau ar Newidynnau'!A1"/><Relationship Id="rId4" Type="http://schemas.openxmlformats.org/officeDocument/2006/relationships/hyperlink" Target="#'Amcanestyniadau o Aelwyd'!A1"/><Relationship Id="rId9" Type="http://schemas.openxmlformats.org/officeDocument/2006/relationships/hyperlink" Target="#'Rhagdybiaeth Blynyddol'!A1"/><Relationship Id="rId14" Type="http://schemas.openxmlformats.org/officeDocument/2006/relationships/hyperlink" Target="#Cyngor!A1"/></Relationships>
</file>

<file path=xl/drawings/_rels/drawing6.xml.rels><?xml version="1.0" encoding="UTF-8" standalone="yes"?>
<Relationships xmlns="http://schemas.openxmlformats.org/package/2006/relationships"><Relationship Id="rId8" Type="http://schemas.openxmlformats.org/officeDocument/2006/relationships/hyperlink" Target="#'Incwm (Canol. &amp; De-orll)'!A1"/><Relationship Id="rId13" Type="http://schemas.openxmlformats.org/officeDocument/2006/relationships/hyperlink" Target="#'Map Rhanbarthol'!A1"/><Relationship Id="rId3" Type="http://schemas.openxmlformats.org/officeDocument/2006/relationships/chart" Target="../charts/chart11.xml"/><Relationship Id="rId7" Type="http://schemas.openxmlformats.org/officeDocument/2006/relationships/hyperlink" Target="#'Angen Presennol Nas Diwallwyd'!A1"/><Relationship Id="rId12" Type="http://schemas.openxmlformats.org/officeDocument/2006/relationships/hyperlink" Target="#'Canllawiau ar Newidynnau'!A1"/><Relationship Id="rId2" Type="http://schemas.openxmlformats.org/officeDocument/2006/relationships/chart" Target="../charts/chart10.xml"/><Relationship Id="rId1" Type="http://schemas.openxmlformats.org/officeDocument/2006/relationships/chart" Target="../charts/chart9.xml"/><Relationship Id="rId6" Type="http://schemas.openxmlformats.org/officeDocument/2006/relationships/hyperlink" Target="#'Amcanestyniadau o Aelwyd'!A1"/><Relationship Id="rId11" Type="http://schemas.openxmlformats.org/officeDocument/2006/relationships/hyperlink" Target="#'Rhagdybiaeth Blynyddol'!A1"/><Relationship Id="rId5" Type="http://schemas.openxmlformats.org/officeDocument/2006/relationships/hyperlink" Target="#'Rhagolygon y Dyfodol'!A1"/><Relationship Id="rId10" Type="http://schemas.openxmlformats.org/officeDocument/2006/relationships/hyperlink" Target="#'Prisiau Rhenti'!A1"/><Relationship Id="rId4" Type="http://schemas.openxmlformats.org/officeDocument/2006/relationships/chart" Target="../charts/chart12.xml"/><Relationship Id="rId9" Type="http://schemas.openxmlformats.org/officeDocument/2006/relationships/hyperlink" Target="#'Prisiau Tai (Canol. &amp; De-orll)'!A1"/><Relationship Id="rId14" Type="http://schemas.openxmlformats.org/officeDocument/2006/relationships/hyperlink" Target="#Cyngor!A1"/></Relationships>
</file>

<file path=xl/drawings/_rels/drawing7.xml.rels><?xml version="1.0" encoding="UTF-8" standalone="yes"?>
<Relationships xmlns="http://schemas.openxmlformats.org/package/2006/relationships"><Relationship Id="rId8" Type="http://schemas.openxmlformats.org/officeDocument/2006/relationships/hyperlink" Target="#'Incwm (De-ddwyrain)'!A1"/><Relationship Id="rId13" Type="http://schemas.openxmlformats.org/officeDocument/2006/relationships/hyperlink" Target="#'Map Rhanbarthol'!A1"/><Relationship Id="rId3" Type="http://schemas.openxmlformats.org/officeDocument/2006/relationships/chart" Target="../charts/chart15.xml"/><Relationship Id="rId7" Type="http://schemas.openxmlformats.org/officeDocument/2006/relationships/hyperlink" Target="#'Angen Presennol Nas Diwallwyd'!A1"/><Relationship Id="rId12" Type="http://schemas.openxmlformats.org/officeDocument/2006/relationships/hyperlink" Target="#'Canllawiau ar Newidynnau'!A1"/><Relationship Id="rId2" Type="http://schemas.openxmlformats.org/officeDocument/2006/relationships/chart" Target="../charts/chart14.xml"/><Relationship Id="rId1" Type="http://schemas.openxmlformats.org/officeDocument/2006/relationships/chart" Target="../charts/chart13.xml"/><Relationship Id="rId6" Type="http://schemas.openxmlformats.org/officeDocument/2006/relationships/hyperlink" Target="#'Amcanestyniadau o Aelwyd'!A1"/><Relationship Id="rId11" Type="http://schemas.openxmlformats.org/officeDocument/2006/relationships/hyperlink" Target="#'Rhagdybiaeth Blynyddol'!A1"/><Relationship Id="rId5" Type="http://schemas.openxmlformats.org/officeDocument/2006/relationships/hyperlink" Target="#'Rhagolygon y Dyfodol'!A1"/><Relationship Id="rId10" Type="http://schemas.openxmlformats.org/officeDocument/2006/relationships/hyperlink" Target="#'Prisiau Rhenti'!A1"/><Relationship Id="rId4" Type="http://schemas.openxmlformats.org/officeDocument/2006/relationships/chart" Target="../charts/chart16.xml"/><Relationship Id="rId9" Type="http://schemas.openxmlformats.org/officeDocument/2006/relationships/hyperlink" Target="#'Prisiau Tai (De-ddwyrain)'!A1"/><Relationship Id="rId14" Type="http://schemas.openxmlformats.org/officeDocument/2006/relationships/hyperlink" Target="#Cyngor!A1"/></Relationships>
</file>

<file path=xl/drawings/_rels/drawing8.xml.rels><?xml version="1.0" encoding="UTF-8" standalone="yes"?>
<Relationships xmlns="http://schemas.openxmlformats.org/package/2006/relationships"><Relationship Id="rId3" Type="http://schemas.openxmlformats.org/officeDocument/2006/relationships/hyperlink" Target="#'Rhaniad y Ddeiliadaeth (Gog)'!A1"/><Relationship Id="rId2" Type="http://schemas.openxmlformats.org/officeDocument/2006/relationships/hyperlink" Target="#'Rhaniad y Ddeiliadaeth (C&amp;De-o)'!A1"/><Relationship Id="rId1" Type="http://schemas.openxmlformats.org/officeDocument/2006/relationships/hyperlink" Target="#'Rhaniad y Ddeiliadaeth (Cymru)'!A1"/><Relationship Id="rId4" Type="http://schemas.openxmlformats.org/officeDocument/2006/relationships/hyperlink" Target="#'Rhaniad y Ddeiliadaeth (De-ddn)'!A1"/></Relationships>
</file>

<file path=xl/drawings/_rels/drawing9.xml.rels><?xml version="1.0" encoding="UTF-8" standalone="yes"?>
<Relationships xmlns="http://schemas.openxmlformats.org/package/2006/relationships"><Relationship Id="rId2" Type="http://schemas.openxmlformats.org/officeDocument/2006/relationships/hyperlink" Target="#'Canllawiau ar Newidynnau'!A1"/><Relationship Id="rId1" Type="http://schemas.openxmlformats.org/officeDocument/2006/relationships/hyperlink" Target="#'Rhaniad y Ddeiliadaeth (Cymru)'!A1"/></Relationships>
</file>

<file path=xl/drawings/_rels/drawing10.xml.rels><?xml version="1.0" encoding="UTF-8" standalone="yes"?>
<Relationships xmlns="http://schemas.openxmlformats.org/package/2006/relationships"><Relationship Id="rId2" Type="http://schemas.openxmlformats.org/officeDocument/2006/relationships/hyperlink" Target="#'Rhaniad y Ddeiliadaeth (Cymru)'!A1"/><Relationship Id="rId1" Type="http://schemas.openxmlformats.org/officeDocument/2006/relationships/hyperlink" Target="#'Canllawiau ar Newidynnau'!A1"/></Relationships>
</file>

<file path=xl/drawings/_rels/drawing11.xml.rels><?xml version="1.0" encoding="UTF-8" standalone="yes"?>
<Relationships xmlns="http://schemas.openxmlformats.org/package/2006/relationships"><Relationship Id="rId3" Type="http://schemas.openxmlformats.org/officeDocument/2006/relationships/hyperlink" Target="#'Rhaniad y Ddeiliadaeth (Gog)'!A1"/><Relationship Id="rId2" Type="http://schemas.openxmlformats.org/officeDocument/2006/relationships/hyperlink" Target="#'Rhaniad y Ddeiliadaeth (C&amp;De-o)'!A1"/><Relationship Id="rId1" Type="http://schemas.openxmlformats.org/officeDocument/2006/relationships/hyperlink" Target="#'Rhaniad y Ddeiliadaeth (Cymru)'!A1"/><Relationship Id="rId5" Type="http://schemas.openxmlformats.org/officeDocument/2006/relationships/hyperlink" Target="#'Canllawiau ar Newidynnau'!A1"/><Relationship Id="rId4" Type="http://schemas.openxmlformats.org/officeDocument/2006/relationships/hyperlink" Target="#'Rhaniad y Ddeiliadaeth (De-ddn)'!A1"/></Relationships>
</file>

<file path=xl/drawings/_rels/drawing12.xml.rels><?xml version="1.0" encoding="UTF-8" standalone="yes"?>
<Relationships xmlns="http://schemas.openxmlformats.org/package/2006/relationships"><Relationship Id="rId3" Type="http://schemas.openxmlformats.org/officeDocument/2006/relationships/hyperlink" Target="#'Rhaniad y Ddeiliadaeth (Gog)'!A1"/><Relationship Id="rId2" Type="http://schemas.openxmlformats.org/officeDocument/2006/relationships/hyperlink" Target="#'Rhaniad y Ddeiliadaeth (C&amp;De-o)'!A1"/><Relationship Id="rId1" Type="http://schemas.openxmlformats.org/officeDocument/2006/relationships/hyperlink" Target="#'Rhaniad y Ddeiliadaeth (Cymru)'!A1"/><Relationship Id="rId5" Type="http://schemas.openxmlformats.org/officeDocument/2006/relationships/hyperlink" Target="#'Canllawiau ar Newidynnau'!A1"/><Relationship Id="rId4" Type="http://schemas.openxmlformats.org/officeDocument/2006/relationships/hyperlink" Target="#'Cyfrifiadau - De-ddwyrain'!A1"/></Relationships>
</file>

<file path=xl/drawings/_rels/drawing13.xml.rels><?xml version="1.0" encoding="UTF-8" standalone="yes"?>
<Relationships xmlns="http://schemas.openxmlformats.org/package/2006/relationships"><Relationship Id="rId1" Type="http://schemas.openxmlformats.org/officeDocument/2006/relationships/hyperlink" Target="#'Rhaniad y Ddeiliadaeth (Cymru)'!A1"/></Relationships>
</file>

<file path=xl/drawings/_rels/drawing14.xml.rels><?xml version="1.0" encoding="UTF-8" standalone="yes"?>
<Relationships xmlns="http://schemas.openxmlformats.org/package/2006/relationships"><Relationship Id="rId1" Type="http://schemas.openxmlformats.org/officeDocument/2006/relationships/hyperlink" Target="#'Rhaniad y Ddeiliadaeth (Gog)'!A1"/></Relationships>
</file>

<file path=xl/drawings/_rels/drawing15.xml.rels><?xml version="1.0" encoding="UTF-8" standalone="yes"?>
<Relationships xmlns="http://schemas.openxmlformats.org/package/2006/relationships"><Relationship Id="rId1" Type="http://schemas.openxmlformats.org/officeDocument/2006/relationships/hyperlink" Target="#'Rhaniad y Ddeiliadaeth (C&amp;De-o)'!A1"/></Relationships>
</file>

<file path=xl/drawings/_rels/drawing16.xml.rels><?xml version="1.0" encoding="UTF-8" standalone="yes"?>
<Relationships xmlns="http://schemas.openxmlformats.org/package/2006/relationships"><Relationship Id="rId1" Type="http://schemas.openxmlformats.org/officeDocument/2006/relationships/hyperlink" Target="#'Rhaniad y Ddeiliadaeth (De-ddn)'!A1"/></Relationships>
</file>

<file path=xl/drawings/_rels/drawing17.xml.rels><?xml version="1.0" encoding="UTF-8" standalone="yes"?>
<Relationships xmlns="http://schemas.openxmlformats.org/package/2006/relationships"><Relationship Id="rId1" Type="http://schemas.openxmlformats.org/officeDocument/2006/relationships/hyperlink" Target="#'Rhaniad y Ddeiliadaeth (Cymru)'!A1"/></Relationships>
</file>

<file path=xl/drawings/_rels/drawing18.xml.rels><?xml version="1.0" encoding="UTF-8" standalone="yes"?>
<Relationships xmlns="http://schemas.openxmlformats.org/package/2006/relationships"><Relationship Id="rId1" Type="http://schemas.openxmlformats.org/officeDocument/2006/relationships/hyperlink" Target="#'Rhaniad y Ddeiliadaeth (Gog)'!A1"/></Relationships>
</file>

<file path=xl/drawings/_rels/drawing19.xml.rels><?xml version="1.0" encoding="UTF-8" standalone="yes"?>
<Relationships xmlns="http://schemas.openxmlformats.org/package/2006/relationships"><Relationship Id="rId1" Type="http://schemas.openxmlformats.org/officeDocument/2006/relationships/hyperlink" Target="#'Rhaniad y Ddeiliadaeth (C&amp;De-o)'!A1"/></Relationships>
</file>

<file path=xl/drawings/_rels/drawing20.xml.rels><?xml version="1.0" encoding="UTF-8" standalone="yes"?>
<Relationships xmlns="http://schemas.openxmlformats.org/package/2006/relationships"><Relationship Id="rId1" Type="http://schemas.openxmlformats.org/officeDocument/2006/relationships/hyperlink" Target="#'Rhaniad y Ddeiliadaeth (De-ddn)'!A1"/></Relationships>
</file>

<file path=xl/drawings/_rels/drawing21.xml.rels><?xml version="1.0" encoding="UTF-8" standalone="yes"?>
<Relationships xmlns="http://schemas.openxmlformats.org/package/2006/relationships"><Relationship Id="rId3" Type="http://schemas.openxmlformats.org/officeDocument/2006/relationships/hyperlink" Target="#'Rhaniad y Ddeiliadaeth (De-ddn)'!A1"/><Relationship Id="rId2" Type="http://schemas.openxmlformats.org/officeDocument/2006/relationships/hyperlink" Target="#'Rhaniad y Ddeiliadaeth (C&amp;De-o)'!A1"/><Relationship Id="rId1" Type="http://schemas.openxmlformats.org/officeDocument/2006/relationships/hyperlink" Target="#'Rhaniad y Ddeiliadaeth (Gog)'!A1"/><Relationship Id="rId6" Type="http://schemas.openxmlformats.org/officeDocument/2006/relationships/image" Target="../media/image3.png"/><Relationship Id="rId5" Type="http://schemas.openxmlformats.org/officeDocument/2006/relationships/hyperlink" Target="#'Canllawiau ar Newidynnau'!A1"/><Relationship Id="rId4" Type="http://schemas.openxmlformats.org/officeDocument/2006/relationships/hyperlink" Target="#'Tudalen Flaen'!A1"/></Relationships>
</file>

<file path=xl/drawings/drawing1.xml><?xml version="1.0" encoding="utf-8"?>
<xdr:wsDr xmlns:xdr="http://schemas.openxmlformats.org/drawingml/2006/spreadsheetDrawing" xmlns:a="http://schemas.openxmlformats.org/drawingml/2006/main">
  <xdr:twoCellAnchor editAs="oneCell">
    <xdr:from>
      <xdr:col>16</xdr:col>
      <xdr:colOff>64618</xdr:colOff>
      <xdr:row>0</xdr:row>
      <xdr:rowOff>118533</xdr:rowOff>
    </xdr:from>
    <xdr:to>
      <xdr:col>17</xdr:col>
      <xdr:colOff>591609</xdr:colOff>
      <xdr:row>5</xdr:row>
      <xdr:rowOff>142941</xdr:rowOff>
    </xdr:to>
    <xdr:pic>
      <xdr:nvPicPr>
        <xdr:cNvPr id="2" name="Picture 1"/>
        <xdr:cNvPicPr>
          <a:picLocks noChangeAspect="1"/>
        </xdr:cNvPicPr>
      </xdr:nvPicPr>
      <xdr:blipFill rotWithShape="1">
        <a:blip xmlns:r="http://schemas.openxmlformats.org/officeDocument/2006/relationships" r:embed="rId1"/>
        <a:srcRect l="62462" t="26599" r="12418" b="30822"/>
        <a:stretch/>
      </xdr:blipFill>
      <xdr:spPr>
        <a:xfrm>
          <a:off x="10796118" y="118533"/>
          <a:ext cx="1140824" cy="1082741"/>
        </a:xfrm>
        <a:prstGeom prst="rect">
          <a:avLst/>
        </a:prstGeom>
      </xdr:spPr>
    </xdr:pic>
    <xdr:clientData/>
  </xdr:twoCellAnchor>
  <xdr:twoCellAnchor>
    <xdr:from>
      <xdr:col>13</xdr:col>
      <xdr:colOff>57149</xdr:colOff>
      <xdr:row>13</xdr:row>
      <xdr:rowOff>95250</xdr:rowOff>
    </xdr:from>
    <xdr:to>
      <xdr:col>16</xdr:col>
      <xdr:colOff>105832</xdr:colOff>
      <xdr:row>15</xdr:row>
      <xdr:rowOff>63500</xdr:rowOff>
    </xdr:to>
    <xdr:sp macro="" textlink="">
      <xdr:nvSpPr>
        <xdr:cNvPr id="3" name="Rectangle 2">
          <a:hlinkClick xmlns:r="http://schemas.openxmlformats.org/officeDocument/2006/relationships" r:id="rId2"/>
        </xdr:cNvPr>
        <xdr:cNvSpPr/>
      </xdr:nvSpPr>
      <xdr:spPr>
        <a:xfrm>
          <a:off x="10344149" y="3122083"/>
          <a:ext cx="1890183" cy="455084"/>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fynd i </a:t>
          </a:r>
          <a:r>
            <a:rPr lang="en-GB" sz="1100" b="1" baseline="0">
              <a:solidFill>
                <a:sysClr val="windowText" lastClr="000000"/>
              </a:solidFill>
            </a:rPr>
            <a:t>Canllawiau ar Newidynnau</a:t>
          </a:r>
          <a:endParaRPr lang="en-GB" sz="1100">
            <a:solidFill>
              <a:sysClr val="windowText" lastClr="000000"/>
            </a:solidFill>
          </a:endParaRPr>
        </a:p>
      </xdr:txBody>
    </xdr:sp>
    <xdr:clientData/>
  </xdr:twoCellAnchor>
  <xdr:twoCellAnchor>
    <xdr:from>
      <xdr:col>13</xdr:col>
      <xdr:colOff>116680</xdr:colOff>
      <xdr:row>20</xdr:row>
      <xdr:rowOff>69057</xdr:rowOff>
    </xdr:from>
    <xdr:to>
      <xdr:col>16</xdr:col>
      <xdr:colOff>165363</xdr:colOff>
      <xdr:row>22</xdr:row>
      <xdr:rowOff>178594</xdr:rowOff>
    </xdr:to>
    <xdr:sp macro="" textlink="">
      <xdr:nvSpPr>
        <xdr:cNvPr id="4" name="Rectangle 3">
          <a:hlinkClick xmlns:r="http://schemas.openxmlformats.org/officeDocument/2006/relationships" r:id="rId3"/>
        </xdr:cNvPr>
        <xdr:cNvSpPr/>
      </xdr:nvSpPr>
      <xdr:spPr>
        <a:xfrm>
          <a:off x="8927305" y="4879182"/>
          <a:ext cx="1870339" cy="6096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fynd i </a:t>
          </a:r>
          <a:r>
            <a:rPr lang="en-GB" sz="1100" b="1" baseline="0">
              <a:solidFill>
                <a:sysClr val="windowText" lastClr="000000"/>
              </a:solidFill>
            </a:rPr>
            <a:t>Map Rhanbarthol</a:t>
          </a:r>
        </a:p>
        <a:p>
          <a:pPr algn="ctr"/>
          <a:endParaRPr lang="en-GB" sz="1100">
            <a:solidFill>
              <a:sysClr val="windowText" lastClr="000000"/>
            </a:solidFill>
          </a:endParaRPr>
        </a:p>
      </xdr:txBody>
    </xdr:sp>
    <xdr:clientData/>
  </xdr:twoCellAnchor>
  <xdr:twoCellAnchor>
    <xdr:from>
      <xdr:col>13</xdr:col>
      <xdr:colOff>71437</xdr:colOff>
      <xdr:row>16</xdr:row>
      <xdr:rowOff>95250</xdr:rowOff>
    </xdr:from>
    <xdr:to>
      <xdr:col>16</xdr:col>
      <xdr:colOff>120120</xdr:colOff>
      <xdr:row>18</xdr:row>
      <xdr:rowOff>63500</xdr:rowOff>
    </xdr:to>
    <xdr:sp macro="" textlink="">
      <xdr:nvSpPr>
        <xdr:cNvPr id="6" name="Rectangle 5">
          <a:hlinkClick xmlns:r="http://schemas.openxmlformats.org/officeDocument/2006/relationships" r:id="rId4"/>
        </xdr:cNvPr>
        <xdr:cNvSpPr/>
      </xdr:nvSpPr>
      <xdr:spPr>
        <a:xfrm>
          <a:off x="8882062" y="3905250"/>
          <a:ext cx="1870339" cy="46831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fynd i </a:t>
          </a:r>
          <a:r>
            <a:rPr lang="en-GB" sz="1100" b="1" baseline="0">
              <a:solidFill>
                <a:sysClr val="windowText" lastClr="000000"/>
              </a:solidFill>
            </a:rPr>
            <a:t>Cyngor</a:t>
          </a:r>
          <a:endParaRPr lang="en-GB" sz="1100">
            <a:solidFill>
              <a:sysClr val="windowText" lastClr="000000"/>
            </a:solidFill>
          </a:endParaRPr>
        </a:p>
      </xdr:txBody>
    </xdr:sp>
    <xdr:clientData/>
  </xdr:twoCellAnchor>
  <xdr:twoCellAnchor editAs="oneCell">
    <xdr:from>
      <xdr:col>0</xdr:col>
      <xdr:colOff>95250</xdr:colOff>
      <xdr:row>63</xdr:row>
      <xdr:rowOff>119062</xdr:rowOff>
    </xdr:from>
    <xdr:to>
      <xdr:col>1</xdr:col>
      <xdr:colOff>1011714</xdr:colOff>
      <xdr:row>66</xdr:row>
      <xdr:rowOff>153987</xdr:rowOff>
    </xdr:to>
    <xdr:pic>
      <xdr:nvPicPr>
        <xdr:cNvPr id="7" name="Picture 6" descr="&quot;&quot;"/>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bwMode="auto">
        <a:xfrm>
          <a:off x="95250" y="15370968"/>
          <a:ext cx="1023620" cy="60642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4651561</xdr:colOff>
      <xdr:row>0</xdr:row>
      <xdr:rowOff>235324</xdr:rowOff>
    </xdr:from>
    <xdr:to>
      <xdr:col>4</xdr:col>
      <xdr:colOff>1333499</xdr:colOff>
      <xdr:row>4</xdr:row>
      <xdr:rowOff>168088</xdr:rowOff>
    </xdr:to>
    <xdr:sp macro="" textlink="">
      <xdr:nvSpPr>
        <xdr:cNvPr id="2" name="Rectangle 1">
          <a:hlinkClick xmlns:r="http://schemas.openxmlformats.org/officeDocument/2006/relationships" r:id="rId1"/>
        </xdr:cNvPr>
        <xdr:cNvSpPr/>
      </xdr:nvSpPr>
      <xdr:spPr>
        <a:xfrm>
          <a:off x="9750237" y="235324"/>
          <a:ext cx="1623733" cy="795617"/>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cy-GB" sz="1100" baseline="0">
              <a:solidFill>
                <a:sysClr val="windowText" lastClr="000000"/>
              </a:solidFill>
              <a:effectLst/>
              <a:latin typeface="+mn-lt"/>
              <a:ea typeface="+mn-ea"/>
              <a:cs typeface="+mn-cs"/>
            </a:rPr>
            <a:t>CLICIWCH i fynd i </a:t>
          </a:r>
          <a:r>
            <a:rPr lang="cy-GB" sz="1100" b="1" baseline="0">
              <a:solidFill>
                <a:sysClr val="windowText" lastClr="000000"/>
              </a:solidFill>
              <a:effectLst/>
              <a:latin typeface="+mn-lt"/>
              <a:ea typeface="+mn-ea"/>
              <a:cs typeface="+mn-cs"/>
            </a:rPr>
            <a:t>Raniad y Ddeiliadaeth (Cymru)</a:t>
          </a:r>
          <a:endParaRPr lang="en-GB" sz="1100" b="1" baseline="0">
            <a:solidFill>
              <a:sysClr val="windowText" lastClr="000000"/>
            </a:solidFill>
          </a:endParaRPr>
        </a:p>
      </xdr:txBody>
    </xdr:sp>
    <xdr:clientData/>
  </xdr:twoCellAnchor>
  <xdr:twoCellAnchor>
    <xdr:from>
      <xdr:col>4</xdr:col>
      <xdr:colOff>1397373</xdr:colOff>
      <xdr:row>0</xdr:row>
      <xdr:rowOff>235323</xdr:rowOff>
    </xdr:from>
    <xdr:to>
      <xdr:col>4</xdr:col>
      <xdr:colOff>3021106</xdr:colOff>
      <xdr:row>4</xdr:row>
      <xdr:rowOff>156881</xdr:rowOff>
    </xdr:to>
    <xdr:sp macro="" textlink="">
      <xdr:nvSpPr>
        <xdr:cNvPr id="4" name="Rectangle 3">
          <a:hlinkClick xmlns:r="http://schemas.openxmlformats.org/officeDocument/2006/relationships" r:id="rId2"/>
        </xdr:cNvPr>
        <xdr:cNvSpPr/>
      </xdr:nvSpPr>
      <xdr:spPr>
        <a:xfrm>
          <a:off x="11437844" y="235323"/>
          <a:ext cx="1623733" cy="784411"/>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cy-GB" sz="1100" baseline="0">
              <a:solidFill>
                <a:sysClr val="windowText" lastClr="000000"/>
              </a:solidFill>
              <a:effectLst/>
              <a:latin typeface="+mn-lt"/>
              <a:ea typeface="+mn-ea"/>
              <a:cs typeface="+mn-cs"/>
            </a:rPr>
            <a:t>CLICIWCH i fynd </a:t>
          </a:r>
          <a:r>
            <a:rPr lang="cy-GB" sz="1100" b="0" baseline="0">
              <a:solidFill>
                <a:sysClr val="windowText" lastClr="000000"/>
              </a:solidFill>
              <a:effectLst/>
              <a:latin typeface="+mn-lt"/>
              <a:ea typeface="+mn-ea"/>
              <a:cs typeface="+mn-cs"/>
            </a:rPr>
            <a:t>i </a:t>
          </a:r>
          <a:r>
            <a:rPr lang="cy-GB" sz="1100" b="1" baseline="0">
              <a:solidFill>
                <a:sysClr val="windowText" lastClr="000000"/>
              </a:solidFill>
              <a:effectLst/>
              <a:latin typeface="+mn-lt"/>
              <a:ea typeface="+mn-ea"/>
              <a:cs typeface="+mn-cs"/>
            </a:rPr>
            <a:t>Raniad y Ddeiliadaeth (Gogledd Cymru)</a:t>
          </a:r>
          <a:endParaRPr lang="en-GB" sz="1100" b="1" baseline="0">
            <a:solidFill>
              <a:sysClr val="windowText" lastClr="000000"/>
            </a:solidFill>
          </a:endParaRPr>
        </a:p>
      </xdr:txBody>
    </xdr:sp>
    <xdr:clientData/>
  </xdr:twoCellAnchor>
  <xdr:twoCellAnchor>
    <xdr:from>
      <xdr:col>4</xdr:col>
      <xdr:colOff>3084978</xdr:colOff>
      <xdr:row>0</xdr:row>
      <xdr:rowOff>235321</xdr:rowOff>
    </xdr:from>
    <xdr:to>
      <xdr:col>5</xdr:col>
      <xdr:colOff>551329</xdr:colOff>
      <xdr:row>4</xdr:row>
      <xdr:rowOff>168087</xdr:rowOff>
    </xdr:to>
    <xdr:sp macro="" textlink="">
      <xdr:nvSpPr>
        <xdr:cNvPr id="5" name="Rectangle 4">
          <a:hlinkClick xmlns:r="http://schemas.openxmlformats.org/officeDocument/2006/relationships" r:id="rId3"/>
        </xdr:cNvPr>
        <xdr:cNvSpPr/>
      </xdr:nvSpPr>
      <xdr:spPr>
        <a:xfrm>
          <a:off x="13125449" y="235321"/>
          <a:ext cx="1623733" cy="795619"/>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lang="cy-GB" sz="1100" baseline="0">
              <a:solidFill>
                <a:sysClr val="windowText" lastClr="000000"/>
              </a:solidFill>
              <a:effectLst/>
              <a:latin typeface="+mn-lt"/>
              <a:ea typeface="+mn-ea"/>
              <a:cs typeface="+mn-cs"/>
            </a:rPr>
            <a:t>CLICIWCH i fynd </a:t>
          </a:r>
          <a:r>
            <a:rPr lang="cy-GB" sz="1100" b="0" baseline="0">
              <a:solidFill>
                <a:sysClr val="windowText" lastClr="000000"/>
              </a:solidFill>
              <a:effectLst/>
              <a:latin typeface="+mn-lt"/>
              <a:ea typeface="+mn-ea"/>
              <a:cs typeface="+mn-cs"/>
            </a:rPr>
            <a:t>i </a:t>
          </a:r>
          <a:r>
            <a:rPr lang="cy-GB" sz="1100" b="1" baseline="0">
              <a:solidFill>
                <a:sysClr val="windowText" lastClr="000000"/>
              </a:solidFill>
              <a:effectLst/>
              <a:latin typeface="+mn-lt"/>
              <a:ea typeface="+mn-ea"/>
              <a:cs typeface="+mn-cs"/>
            </a:rPr>
            <a:t>Raniad y Ddeiliadaeth (Canolbarth a De-orllewin Cymru)</a:t>
          </a:r>
          <a:endParaRPr lang="en-GB" b="1" baseline="0">
            <a:solidFill>
              <a:sysClr val="windowText" lastClr="000000"/>
            </a:solidFill>
            <a:effectLst/>
          </a:endParaRPr>
        </a:p>
      </xdr:txBody>
    </xdr:sp>
    <xdr:clientData/>
  </xdr:twoCellAnchor>
  <xdr:twoCellAnchor>
    <xdr:from>
      <xdr:col>5</xdr:col>
      <xdr:colOff>626408</xdr:colOff>
      <xdr:row>0</xdr:row>
      <xdr:rowOff>235323</xdr:rowOff>
    </xdr:from>
    <xdr:to>
      <xdr:col>5</xdr:col>
      <xdr:colOff>2250141</xdr:colOff>
      <xdr:row>4</xdr:row>
      <xdr:rowOff>168087</xdr:rowOff>
    </xdr:to>
    <xdr:sp macro="" textlink="">
      <xdr:nvSpPr>
        <xdr:cNvPr id="6" name="Rectangle 5">
          <a:hlinkClick xmlns:r="http://schemas.openxmlformats.org/officeDocument/2006/relationships" r:id="rId4"/>
        </xdr:cNvPr>
        <xdr:cNvSpPr/>
      </xdr:nvSpPr>
      <xdr:spPr>
        <a:xfrm>
          <a:off x="14824261" y="235323"/>
          <a:ext cx="1623733" cy="795617"/>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lang="cy-GB" sz="1100" baseline="0">
              <a:solidFill>
                <a:sysClr val="windowText" lastClr="000000"/>
              </a:solidFill>
              <a:effectLst/>
              <a:latin typeface="+mn-lt"/>
              <a:ea typeface="+mn-ea"/>
              <a:cs typeface="+mn-cs"/>
            </a:rPr>
            <a:t>CLICIWCH i fynd </a:t>
          </a:r>
          <a:r>
            <a:rPr lang="cy-GB" sz="1100" b="0" baseline="0">
              <a:solidFill>
                <a:sysClr val="windowText" lastClr="000000"/>
              </a:solidFill>
              <a:effectLst/>
              <a:latin typeface="+mn-lt"/>
              <a:ea typeface="+mn-ea"/>
              <a:cs typeface="+mn-cs"/>
            </a:rPr>
            <a:t>i </a:t>
          </a:r>
          <a:r>
            <a:rPr lang="cy-GB" sz="1100" b="1" baseline="0">
              <a:solidFill>
                <a:sysClr val="windowText" lastClr="000000"/>
              </a:solidFill>
              <a:effectLst/>
              <a:latin typeface="+mn-lt"/>
              <a:ea typeface="+mn-ea"/>
              <a:cs typeface="+mn-cs"/>
            </a:rPr>
            <a:t>Raniad y Ddeiliadaeth (De-ddwyrain Cymru)</a:t>
          </a:r>
          <a:endParaRPr lang="en-GB" baseline="0">
            <a:solidFill>
              <a:sysClr val="windowText" lastClr="000000"/>
            </a:solidFill>
            <a:effectLst/>
          </a:endParaRPr>
        </a:p>
      </xdr:txBody>
    </xdr:sp>
    <xdr:clientData/>
  </xdr:twoCellAnchor>
  <xdr:twoCellAnchor>
    <xdr:from>
      <xdr:col>5</xdr:col>
      <xdr:colOff>2325220</xdr:colOff>
      <xdr:row>0</xdr:row>
      <xdr:rowOff>235324</xdr:rowOff>
    </xdr:from>
    <xdr:to>
      <xdr:col>6</xdr:col>
      <xdr:colOff>38100</xdr:colOff>
      <xdr:row>4</xdr:row>
      <xdr:rowOff>156882</xdr:rowOff>
    </xdr:to>
    <xdr:sp macro="" textlink="">
      <xdr:nvSpPr>
        <xdr:cNvPr id="7" name="Rectangle 6">
          <a:hlinkClick xmlns:r="http://schemas.openxmlformats.org/officeDocument/2006/relationships" r:id="rId5"/>
        </xdr:cNvPr>
        <xdr:cNvSpPr/>
      </xdr:nvSpPr>
      <xdr:spPr>
        <a:xfrm>
          <a:off x="16523073" y="235324"/>
          <a:ext cx="1623733" cy="784411"/>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lang="cy-GB" sz="1100" baseline="0">
              <a:solidFill>
                <a:sysClr val="windowText" lastClr="000000"/>
              </a:solidFill>
              <a:effectLst/>
              <a:latin typeface="+mn-lt"/>
              <a:ea typeface="+mn-ea"/>
              <a:cs typeface="+mn-cs"/>
            </a:rPr>
            <a:t>CLICIWCH i fynd </a:t>
          </a:r>
          <a:r>
            <a:rPr lang="cy-GB" sz="1100" b="0" baseline="0">
              <a:solidFill>
                <a:sysClr val="windowText" lastClr="000000"/>
              </a:solidFill>
              <a:effectLst/>
              <a:latin typeface="+mn-lt"/>
              <a:ea typeface="+mn-ea"/>
              <a:cs typeface="+mn-cs"/>
            </a:rPr>
            <a:t>i </a:t>
          </a:r>
          <a:r>
            <a:rPr lang="cy-GB" sz="1100" b="1" baseline="0">
              <a:solidFill>
                <a:sysClr val="windowText" lastClr="000000"/>
              </a:solidFill>
              <a:effectLst/>
              <a:latin typeface="+mn-lt"/>
              <a:ea typeface="+mn-ea"/>
              <a:cs typeface="+mn-cs"/>
            </a:rPr>
            <a:t>Map Rhanbarthol</a:t>
          </a:r>
          <a:endParaRPr lang="en-GB" b="1" baseline="0">
            <a:solidFill>
              <a:sysClr val="windowText" lastClr="000000"/>
            </a:solidFill>
            <a:effectLst/>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13</xdr:col>
      <xdr:colOff>416983</xdr:colOff>
      <xdr:row>7</xdr:row>
      <xdr:rowOff>307164</xdr:rowOff>
    </xdr:from>
    <xdr:to>
      <xdr:col>16</xdr:col>
      <xdr:colOff>214467</xdr:colOff>
      <xdr:row>9</xdr:row>
      <xdr:rowOff>236132</xdr:rowOff>
    </xdr:to>
    <xdr:sp macro="" textlink="">
      <xdr:nvSpPr>
        <xdr:cNvPr id="2" name="Rectangle 1">
          <a:hlinkClick xmlns:r="http://schemas.openxmlformats.org/officeDocument/2006/relationships" r:id="rId1"/>
        </xdr:cNvPr>
        <xdr:cNvSpPr/>
      </xdr:nvSpPr>
      <xdr:spPr>
        <a:xfrm>
          <a:off x="7941733" y="1640664"/>
          <a:ext cx="1626284" cy="557618"/>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solidFill>
                <a:sysClr val="windowText" lastClr="000000"/>
              </a:solidFill>
            </a:rPr>
            <a:t>CLICIWCH i fynd i </a:t>
          </a:r>
          <a:r>
            <a:rPr lang="en-GB" sz="1100" b="1">
              <a:solidFill>
                <a:sysClr val="windowText" lastClr="000000"/>
              </a:solidFill>
            </a:rPr>
            <a:t>Raniad y Ddeiliadaeth (Cymru)</a:t>
          </a:r>
          <a:endParaRPr lang="en-GB" sz="1100">
            <a:solidFill>
              <a:sysClr val="windowText" lastClr="000000"/>
            </a:solidFill>
          </a:endParaRPr>
        </a:p>
      </xdr:txBody>
    </xdr:sp>
    <xdr:clientData/>
  </xdr:twoCellAnchor>
  <xdr:twoCellAnchor>
    <xdr:from>
      <xdr:col>13</xdr:col>
      <xdr:colOff>418665</xdr:colOff>
      <xdr:row>9</xdr:row>
      <xdr:rowOff>364067</xdr:rowOff>
    </xdr:from>
    <xdr:to>
      <xdr:col>16</xdr:col>
      <xdr:colOff>216149</xdr:colOff>
      <xdr:row>13</xdr:row>
      <xdr:rowOff>9525</xdr:rowOff>
    </xdr:to>
    <xdr:sp macro="" textlink="">
      <xdr:nvSpPr>
        <xdr:cNvPr id="3" name="Rectangle 2">
          <a:hlinkClick xmlns:r="http://schemas.openxmlformats.org/officeDocument/2006/relationships" r:id="rId2"/>
        </xdr:cNvPr>
        <xdr:cNvSpPr/>
      </xdr:nvSpPr>
      <xdr:spPr>
        <a:xfrm>
          <a:off x="7943415" y="2421467"/>
          <a:ext cx="1626284" cy="674158"/>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baseline="0">
              <a:solidFill>
                <a:sysClr val="windowText" lastClr="000000"/>
              </a:solidFill>
              <a:effectLst/>
              <a:latin typeface="+mn-lt"/>
              <a:ea typeface="+mn-ea"/>
              <a:cs typeface="+mn-cs"/>
            </a:rPr>
            <a:t>CLICIWCH i fynd i </a:t>
          </a:r>
          <a:r>
            <a:rPr lang="en-GB" sz="1100" b="1" baseline="0">
              <a:solidFill>
                <a:sysClr val="windowText" lastClr="000000"/>
              </a:solidFill>
              <a:effectLst/>
              <a:latin typeface="+mn-lt"/>
              <a:ea typeface="+mn-ea"/>
              <a:cs typeface="+mn-cs"/>
            </a:rPr>
            <a:t>Raniad y Ddeiliadaeth (Gogledd Cymru)</a:t>
          </a:r>
          <a:endParaRPr lang="en-GB" baseline="0">
            <a:solidFill>
              <a:sysClr val="windowText" lastClr="000000"/>
            </a:solidFill>
            <a:effectLst/>
          </a:endParaRPr>
        </a:p>
      </xdr:txBody>
    </xdr:sp>
    <xdr:clientData/>
  </xdr:twoCellAnchor>
  <xdr:twoCellAnchor>
    <xdr:from>
      <xdr:col>13</xdr:col>
      <xdr:colOff>422026</xdr:colOff>
      <xdr:row>13</xdr:row>
      <xdr:rowOff>111497</xdr:rowOff>
    </xdr:from>
    <xdr:to>
      <xdr:col>16</xdr:col>
      <xdr:colOff>219510</xdr:colOff>
      <xdr:row>14</xdr:row>
      <xdr:rowOff>314325</xdr:rowOff>
    </xdr:to>
    <xdr:sp macro="" textlink="">
      <xdr:nvSpPr>
        <xdr:cNvPr id="4" name="Rectangle 3">
          <a:hlinkClick xmlns:r="http://schemas.openxmlformats.org/officeDocument/2006/relationships" r:id="rId3"/>
        </xdr:cNvPr>
        <xdr:cNvSpPr/>
      </xdr:nvSpPr>
      <xdr:spPr>
        <a:xfrm>
          <a:off x="7946776" y="3197597"/>
          <a:ext cx="1626284" cy="812428"/>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solidFill>
                <a:sysClr val="windowText" lastClr="000000"/>
              </a:solidFill>
            </a:rPr>
            <a:t>CLICIWCH i fynd i </a:t>
          </a:r>
          <a:r>
            <a:rPr lang="en-GB" sz="1100" b="1">
              <a:solidFill>
                <a:sysClr val="windowText" lastClr="000000"/>
              </a:solidFill>
            </a:rPr>
            <a:t>Raniad y Ddeiliadaeth (Canolbarth</a:t>
          </a:r>
          <a:r>
            <a:rPr lang="en-GB" sz="1100" b="1" baseline="0">
              <a:solidFill>
                <a:sysClr val="windowText" lastClr="000000"/>
              </a:solidFill>
            </a:rPr>
            <a:t> a De-orllewin Cymru)</a:t>
          </a:r>
        </a:p>
        <a:p>
          <a:pPr algn="ctr"/>
          <a:endParaRPr lang="en-GB" sz="1100">
            <a:solidFill>
              <a:sysClr val="windowText" lastClr="000000"/>
            </a:solidFill>
          </a:endParaRPr>
        </a:p>
      </xdr:txBody>
    </xdr:sp>
    <xdr:clientData/>
  </xdr:twoCellAnchor>
  <xdr:twoCellAnchor>
    <xdr:from>
      <xdr:col>13</xdr:col>
      <xdr:colOff>433232</xdr:colOff>
      <xdr:row>14</xdr:row>
      <xdr:rowOff>443564</xdr:rowOff>
    </xdr:from>
    <xdr:to>
      <xdr:col>16</xdr:col>
      <xdr:colOff>230716</xdr:colOff>
      <xdr:row>16</xdr:row>
      <xdr:rowOff>76199</xdr:rowOff>
    </xdr:to>
    <xdr:sp macro="" textlink="">
      <xdr:nvSpPr>
        <xdr:cNvPr id="5" name="Rectangle 4">
          <a:hlinkClick xmlns:r="http://schemas.openxmlformats.org/officeDocument/2006/relationships" r:id="rId4"/>
        </xdr:cNvPr>
        <xdr:cNvSpPr/>
      </xdr:nvSpPr>
      <xdr:spPr>
        <a:xfrm>
          <a:off x="7957982" y="4139264"/>
          <a:ext cx="1626284" cy="775635"/>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solidFill>
                <a:sysClr val="windowText" lastClr="000000"/>
              </a:solidFill>
            </a:rPr>
            <a:t>CLICIWCH i fynd i </a:t>
          </a:r>
          <a:r>
            <a:rPr lang="en-GB" sz="1100" b="1">
              <a:solidFill>
                <a:sysClr val="windowText" lastClr="000000"/>
              </a:solidFill>
            </a:rPr>
            <a:t>Raniad y Ddeiliadaeth (De-ddwyrain Cymru)</a:t>
          </a:r>
          <a:endParaRPr lang="en-GB" sz="1100">
            <a:solidFill>
              <a:sysClr val="windowText" lastClr="000000"/>
            </a:solidFill>
          </a:endParaRPr>
        </a:p>
      </xdr:txBody>
    </xdr:sp>
    <xdr:clientData/>
  </xdr:twoCellAnchor>
  <xdr:twoCellAnchor>
    <xdr:from>
      <xdr:col>13</xdr:col>
      <xdr:colOff>410633</xdr:colOff>
      <xdr:row>5</xdr:row>
      <xdr:rowOff>36231</xdr:rowOff>
    </xdr:from>
    <xdr:to>
      <xdr:col>16</xdr:col>
      <xdr:colOff>208117</xdr:colOff>
      <xdr:row>7</xdr:row>
      <xdr:rowOff>208616</xdr:rowOff>
    </xdr:to>
    <xdr:sp macro="" textlink="">
      <xdr:nvSpPr>
        <xdr:cNvPr id="6" name="Rectangle 5">
          <a:hlinkClick xmlns:r="http://schemas.openxmlformats.org/officeDocument/2006/relationships" r:id="rId5"/>
        </xdr:cNvPr>
        <xdr:cNvSpPr/>
      </xdr:nvSpPr>
      <xdr:spPr>
        <a:xfrm>
          <a:off x="7935383" y="988731"/>
          <a:ext cx="1626284" cy="553385"/>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solidFill>
                <a:sysClr val="windowText" lastClr="000000"/>
              </a:solidFill>
            </a:rPr>
            <a:t>CLICIWCH i fynd i'r </a:t>
          </a:r>
          <a:r>
            <a:rPr lang="en-GB" sz="1100" b="1">
              <a:solidFill>
                <a:sysClr val="windowText" lastClr="000000"/>
              </a:solidFill>
            </a:rPr>
            <a:t>Dudalen Flaen</a:t>
          </a:r>
          <a:endParaRPr lang="en-GB" sz="1100">
            <a:solidFill>
              <a:sysClr val="windowText" lastClr="000000"/>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236764</xdr:colOff>
      <xdr:row>69</xdr:row>
      <xdr:rowOff>151718</xdr:rowOff>
    </xdr:from>
    <xdr:to>
      <xdr:col>5</xdr:col>
      <xdr:colOff>497417</xdr:colOff>
      <xdr:row>87</xdr:row>
      <xdr:rowOff>156482</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twoCellAnchor>
    <xdr:from>
      <xdr:col>5</xdr:col>
      <xdr:colOff>640781</xdr:colOff>
      <xdr:row>69</xdr:row>
      <xdr:rowOff>145175</xdr:rowOff>
    </xdr:from>
    <xdr:to>
      <xdr:col>10</xdr:col>
      <xdr:colOff>113882</xdr:colOff>
      <xdr:row>87</xdr:row>
      <xdr:rowOff>146298</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twoCellAnchor>
  <xdr:twoCellAnchor>
    <xdr:from>
      <xdr:col>11</xdr:col>
      <xdr:colOff>836082</xdr:colOff>
      <xdr:row>12</xdr:row>
      <xdr:rowOff>105834</xdr:rowOff>
    </xdr:from>
    <xdr:to>
      <xdr:col>13</xdr:col>
      <xdr:colOff>687916</xdr:colOff>
      <xdr:row>14</xdr:row>
      <xdr:rowOff>74083</xdr:rowOff>
    </xdr:to>
    <xdr:sp macro="" textlink="">
      <xdr:nvSpPr>
        <xdr:cNvPr id="4" name="Rectangle 3">
          <a:hlinkClick xmlns:r="http://schemas.openxmlformats.org/officeDocument/2006/relationships" r:id="rId3"/>
        </xdr:cNvPr>
        <xdr:cNvSpPr/>
      </xdr:nvSpPr>
      <xdr:spPr>
        <a:xfrm>
          <a:off x="13493749" y="3280834"/>
          <a:ext cx="1587500" cy="656166"/>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fynd i </a:t>
          </a:r>
          <a:r>
            <a:rPr lang="en-GB" sz="1100" b="1">
              <a:solidFill>
                <a:sysClr val="windowText" lastClr="000000"/>
              </a:solidFill>
            </a:rPr>
            <a:t>Rhagolygon y Dyfodol</a:t>
          </a:r>
          <a:endParaRPr lang="en-GB" sz="1100">
            <a:solidFill>
              <a:sysClr val="windowText" lastClr="000000"/>
            </a:solidFill>
          </a:endParaRPr>
        </a:p>
      </xdr:txBody>
    </xdr:sp>
    <xdr:clientData/>
  </xdr:twoCellAnchor>
  <xdr:twoCellAnchor>
    <xdr:from>
      <xdr:col>11</xdr:col>
      <xdr:colOff>825499</xdr:colOff>
      <xdr:row>4</xdr:row>
      <xdr:rowOff>63499</xdr:rowOff>
    </xdr:from>
    <xdr:to>
      <xdr:col>13</xdr:col>
      <xdr:colOff>677333</xdr:colOff>
      <xdr:row>5</xdr:row>
      <xdr:rowOff>370417</xdr:rowOff>
    </xdr:to>
    <xdr:sp macro="" textlink="">
      <xdr:nvSpPr>
        <xdr:cNvPr id="6" name="Rectangle 5">
          <a:hlinkClick xmlns:r="http://schemas.openxmlformats.org/officeDocument/2006/relationships" r:id="rId4"/>
        </xdr:cNvPr>
        <xdr:cNvSpPr/>
      </xdr:nvSpPr>
      <xdr:spPr>
        <a:xfrm>
          <a:off x="13483166" y="1291166"/>
          <a:ext cx="1587500" cy="624418"/>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fynd i </a:t>
          </a:r>
          <a:r>
            <a:rPr lang="en-GB" sz="1100" b="1">
              <a:solidFill>
                <a:sysClr val="windowText" lastClr="000000"/>
              </a:solidFill>
            </a:rPr>
            <a:t>Amcanestyniadau o Aelwydydd</a:t>
          </a:r>
          <a:endParaRPr lang="en-GB" sz="1100">
            <a:solidFill>
              <a:sysClr val="windowText" lastClr="000000"/>
            </a:solidFill>
          </a:endParaRPr>
        </a:p>
      </xdr:txBody>
    </xdr:sp>
    <xdr:clientData/>
  </xdr:twoCellAnchor>
  <xdr:twoCellAnchor>
    <xdr:from>
      <xdr:col>10</xdr:col>
      <xdr:colOff>52918</xdr:colOff>
      <xdr:row>6</xdr:row>
      <xdr:rowOff>52918</xdr:rowOff>
    </xdr:from>
    <xdr:to>
      <xdr:col>11</xdr:col>
      <xdr:colOff>772584</xdr:colOff>
      <xdr:row>9</xdr:row>
      <xdr:rowOff>95249</xdr:rowOff>
    </xdr:to>
    <xdr:sp macro="" textlink="">
      <xdr:nvSpPr>
        <xdr:cNvPr id="7" name="Rectangle 6">
          <a:hlinkClick xmlns:r="http://schemas.openxmlformats.org/officeDocument/2006/relationships" r:id="rId5"/>
        </xdr:cNvPr>
        <xdr:cNvSpPr/>
      </xdr:nvSpPr>
      <xdr:spPr>
        <a:xfrm>
          <a:off x="11842751" y="1979085"/>
          <a:ext cx="1587500" cy="613831"/>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fynd i </a:t>
          </a:r>
          <a:r>
            <a:rPr lang="en-GB" sz="1100" b="1">
              <a:solidFill>
                <a:sysClr val="windowText" lastClr="000000"/>
              </a:solidFill>
            </a:rPr>
            <a:t>Angen Presennol Nas Diwallwyd</a:t>
          </a:r>
        </a:p>
        <a:p>
          <a:pPr algn="ctr"/>
          <a:endParaRPr lang="en-GB" sz="1100">
            <a:solidFill>
              <a:sysClr val="windowText" lastClr="000000"/>
            </a:solidFill>
          </a:endParaRPr>
        </a:p>
      </xdr:txBody>
    </xdr:sp>
    <xdr:clientData/>
  </xdr:twoCellAnchor>
  <xdr:twoCellAnchor>
    <xdr:from>
      <xdr:col>11</xdr:col>
      <xdr:colOff>825500</xdr:colOff>
      <xdr:row>6</xdr:row>
      <xdr:rowOff>52918</xdr:rowOff>
    </xdr:from>
    <xdr:to>
      <xdr:col>13</xdr:col>
      <xdr:colOff>677334</xdr:colOff>
      <xdr:row>9</xdr:row>
      <xdr:rowOff>95250</xdr:rowOff>
    </xdr:to>
    <xdr:sp macro="" textlink="">
      <xdr:nvSpPr>
        <xdr:cNvPr id="8" name="Rectangle 7">
          <a:hlinkClick xmlns:r="http://schemas.openxmlformats.org/officeDocument/2006/relationships" r:id="rId6"/>
        </xdr:cNvPr>
        <xdr:cNvSpPr/>
      </xdr:nvSpPr>
      <xdr:spPr>
        <a:xfrm>
          <a:off x="13483167" y="1979085"/>
          <a:ext cx="1587500" cy="613832"/>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fynd i </a:t>
          </a:r>
          <a:r>
            <a:rPr lang="en-GB" sz="1100" b="1">
              <a:solidFill>
                <a:sysClr val="windowText" lastClr="000000"/>
              </a:solidFill>
            </a:rPr>
            <a:t>Incwm (Cymru)</a:t>
          </a:r>
        </a:p>
        <a:p>
          <a:pPr algn="ctr"/>
          <a:endParaRPr lang="en-GB" sz="1100" b="1">
            <a:solidFill>
              <a:sysClr val="windowText" lastClr="000000"/>
            </a:solidFill>
          </a:endParaRPr>
        </a:p>
      </xdr:txBody>
    </xdr:sp>
    <xdr:clientData/>
  </xdr:twoCellAnchor>
  <xdr:twoCellAnchor>
    <xdr:from>
      <xdr:col>10</xdr:col>
      <xdr:colOff>42334</xdr:colOff>
      <xdr:row>9</xdr:row>
      <xdr:rowOff>179918</xdr:rowOff>
    </xdr:from>
    <xdr:to>
      <xdr:col>11</xdr:col>
      <xdr:colOff>762000</xdr:colOff>
      <xdr:row>12</xdr:row>
      <xdr:rowOff>21167</xdr:rowOff>
    </xdr:to>
    <xdr:sp macro="" textlink="">
      <xdr:nvSpPr>
        <xdr:cNvPr id="9" name="Rectangle 8">
          <a:hlinkClick xmlns:r="http://schemas.openxmlformats.org/officeDocument/2006/relationships" r:id="rId7"/>
        </xdr:cNvPr>
        <xdr:cNvSpPr/>
      </xdr:nvSpPr>
      <xdr:spPr>
        <a:xfrm>
          <a:off x="11832167" y="2677585"/>
          <a:ext cx="1587500" cy="518582"/>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fynd i </a:t>
          </a:r>
          <a:r>
            <a:rPr lang="en-GB" sz="1100" b="1">
              <a:solidFill>
                <a:sysClr val="windowText" lastClr="000000"/>
              </a:solidFill>
            </a:rPr>
            <a:t>Prisiau</a:t>
          </a:r>
          <a:r>
            <a:rPr lang="en-GB" sz="1100" b="1" baseline="0">
              <a:solidFill>
                <a:sysClr val="windowText" lastClr="000000"/>
              </a:solidFill>
            </a:rPr>
            <a:t> Tai (Cymru)</a:t>
          </a:r>
          <a:endParaRPr lang="en-GB" sz="1100" b="1">
            <a:solidFill>
              <a:sysClr val="windowText" lastClr="000000"/>
            </a:solidFill>
          </a:endParaRPr>
        </a:p>
      </xdr:txBody>
    </xdr:sp>
    <xdr:clientData/>
  </xdr:twoCellAnchor>
  <xdr:twoCellAnchor>
    <xdr:from>
      <xdr:col>11</xdr:col>
      <xdr:colOff>846666</xdr:colOff>
      <xdr:row>9</xdr:row>
      <xdr:rowOff>169333</xdr:rowOff>
    </xdr:from>
    <xdr:to>
      <xdr:col>13</xdr:col>
      <xdr:colOff>698500</xdr:colOff>
      <xdr:row>12</xdr:row>
      <xdr:rowOff>31750</xdr:rowOff>
    </xdr:to>
    <xdr:sp macro="" textlink="">
      <xdr:nvSpPr>
        <xdr:cNvPr id="10" name="Rectangle 9">
          <a:hlinkClick xmlns:r="http://schemas.openxmlformats.org/officeDocument/2006/relationships" r:id="rId8"/>
        </xdr:cNvPr>
        <xdr:cNvSpPr/>
      </xdr:nvSpPr>
      <xdr:spPr>
        <a:xfrm>
          <a:off x="13504333" y="2667000"/>
          <a:ext cx="1587500" cy="53975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fynd i </a:t>
          </a:r>
          <a:r>
            <a:rPr lang="en-GB" sz="1100" b="1">
              <a:solidFill>
                <a:sysClr val="windowText" lastClr="000000"/>
              </a:solidFill>
            </a:rPr>
            <a:t>Prisiau Rhenti</a:t>
          </a:r>
        </a:p>
      </xdr:txBody>
    </xdr:sp>
    <xdr:clientData/>
  </xdr:twoCellAnchor>
  <xdr:twoCellAnchor>
    <xdr:from>
      <xdr:col>10</xdr:col>
      <xdr:colOff>42332</xdr:colOff>
      <xdr:row>12</xdr:row>
      <xdr:rowOff>95250</xdr:rowOff>
    </xdr:from>
    <xdr:to>
      <xdr:col>11</xdr:col>
      <xdr:colOff>761998</xdr:colOff>
      <xdr:row>14</xdr:row>
      <xdr:rowOff>63500</xdr:rowOff>
    </xdr:to>
    <xdr:sp macro="" textlink="">
      <xdr:nvSpPr>
        <xdr:cNvPr id="11" name="Rectangle 10">
          <a:hlinkClick xmlns:r="http://schemas.openxmlformats.org/officeDocument/2006/relationships" r:id="rId9"/>
        </xdr:cNvPr>
        <xdr:cNvSpPr/>
      </xdr:nvSpPr>
      <xdr:spPr>
        <a:xfrm>
          <a:off x="11832165" y="3270250"/>
          <a:ext cx="1587500" cy="656167"/>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a:t>
          </a:r>
          <a:r>
            <a:rPr lang="en-GB" sz="1100" baseline="0">
              <a:solidFill>
                <a:sysClr val="windowText" lastClr="000000"/>
              </a:solidFill>
            </a:rPr>
            <a:t> i fynd i </a:t>
          </a:r>
          <a:r>
            <a:rPr lang="en-GB" sz="1100" b="1" baseline="0">
              <a:solidFill>
                <a:sysClr val="windowText" lastClr="000000"/>
              </a:solidFill>
            </a:rPr>
            <a:t>Rhagdybiaethau Blynyddol</a:t>
          </a:r>
          <a:endParaRPr lang="en-GB" sz="1100" b="1">
            <a:solidFill>
              <a:sysClr val="windowText" lastClr="000000"/>
            </a:solidFill>
          </a:endParaRPr>
        </a:p>
      </xdr:txBody>
    </xdr:sp>
    <xdr:clientData/>
  </xdr:twoCellAnchor>
  <xdr:twoCellAnchor>
    <xdr:from>
      <xdr:col>10</xdr:col>
      <xdr:colOff>31751</xdr:colOff>
      <xdr:row>4</xdr:row>
      <xdr:rowOff>52917</xdr:rowOff>
    </xdr:from>
    <xdr:to>
      <xdr:col>11</xdr:col>
      <xdr:colOff>751417</xdr:colOff>
      <xdr:row>5</xdr:row>
      <xdr:rowOff>370417</xdr:rowOff>
    </xdr:to>
    <xdr:sp macro="" textlink="">
      <xdr:nvSpPr>
        <xdr:cNvPr id="12" name="Rectangle 11">
          <a:hlinkClick xmlns:r="http://schemas.openxmlformats.org/officeDocument/2006/relationships" r:id="rId10"/>
        </xdr:cNvPr>
        <xdr:cNvSpPr/>
      </xdr:nvSpPr>
      <xdr:spPr>
        <a:xfrm>
          <a:off x="11821584" y="1280584"/>
          <a:ext cx="1587500" cy="6350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a:t>
          </a:r>
          <a:r>
            <a:rPr lang="en-GB" sz="1100" baseline="0">
              <a:solidFill>
                <a:sysClr val="windowText" lastClr="000000"/>
              </a:solidFill>
            </a:rPr>
            <a:t>IWCH i weld </a:t>
          </a:r>
          <a:r>
            <a:rPr lang="en-GB" sz="1100" b="1" baseline="0">
              <a:solidFill>
                <a:sysClr val="windowText" lastClr="000000"/>
              </a:solidFill>
            </a:rPr>
            <a:t>Canllawiau ar Newidynnau</a:t>
          </a:r>
          <a:endParaRPr lang="en-GB" sz="1100">
            <a:solidFill>
              <a:sysClr val="windowText" lastClr="000000"/>
            </a:solidFill>
          </a:endParaRPr>
        </a:p>
      </xdr:txBody>
    </xdr:sp>
    <xdr:clientData/>
  </xdr:twoCellAnchor>
  <xdr:twoCellAnchor>
    <xdr:from>
      <xdr:col>1</xdr:col>
      <xdr:colOff>21167</xdr:colOff>
      <xdr:row>32</xdr:row>
      <xdr:rowOff>116417</xdr:rowOff>
    </xdr:from>
    <xdr:to>
      <xdr:col>5</xdr:col>
      <xdr:colOff>588737</xdr:colOff>
      <xdr:row>50</xdr:row>
      <xdr:rowOff>121181</xdr:rowOff>
    </xdr:to>
    <xdr:graphicFrame macro="">
      <xdr:nvGraphicFramePr>
        <xdr:cNvPr id="15" name="Chart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fLocksWithSheet="0"/>
  </xdr:twoCellAnchor>
  <xdr:twoCellAnchor>
    <xdr:from>
      <xdr:col>5</xdr:col>
      <xdr:colOff>719665</xdr:colOff>
      <xdr:row>32</xdr:row>
      <xdr:rowOff>116416</xdr:rowOff>
    </xdr:from>
    <xdr:to>
      <xdr:col>10</xdr:col>
      <xdr:colOff>192766</xdr:colOff>
      <xdr:row>50</xdr:row>
      <xdr:rowOff>117539</xdr:rowOff>
    </xdr:to>
    <xdr:graphicFrame macro="">
      <xdr:nvGraphicFramePr>
        <xdr:cNvPr id="16" name="Chart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fLocksWithSheet="0"/>
  </xdr:twoCellAnchor>
  <xdr:twoCellAnchor>
    <xdr:from>
      <xdr:col>10</xdr:col>
      <xdr:colOff>783167</xdr:colOff>
      <xdr:row>14</xdr:row>
      <xdr:rowOff>211666</xdr:rowOff>
    </xdr:from>
    <xdr:to>
      <xdr:col>13</xdr:col>
      <xdr:colOff>50006</xdr:colOff>
      <xdr:row>16</xdr:row>
      <xdr:rowOff>87313</xdr:rowOff>
    </xdr:to>
    <xdr:sp macro="" textlink="">
      <xdr:nvSpPr>
        <xdr:cNvPr id="14" name="Rectangle 13">
          <a:hlinkClick xmlns:r="http://schemas.openxmlformats.org/officeDocument/2006/relationships" r:id="rId13"/>
        </xdr:cNvPr>
        <xdr:cNvSpPr/>
      </xdr:nvSpPr>
      <xdr:spPr>
        <a:xfrm>
          <a:off x="12763500" y="4074583"/>
          <a:ext cx="1870339" cy="46831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fynd i </a:t>
          </a:r>
          <a:r>
            <a:rPr lang="en-GB" sz="1100" b="1" baseline="0">
              <a:solidFill>
                <a:sysClr val="windowText" lastClr="000000"/>
              </a:solidFill>
            </a:rPr>
            <a:t>Cyngor</a:t>
          </a:r>
          <a:endParaRPr lang="en-GB" sz="1100">
            <a:solidFill>
              <a:sysClr val="windowText" lastClr="000000"/>
            </a:solidFill>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236764</xdr:colOff>
      <xdr:row>69</xdr:row>
      <xdr:rowOff>151718</xdr:rowOff>
    </xdr:from>
    <xdr:to>
      <xdr:col>5</xdr:col>
      <xdr:colOff>497417</xdr:colOff>
      <xdr:row>87</xdr:row>
      <xdr:rowOff>156482</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twoCellAnchor>
    <xdr:from>
      <xdr:col>5</xdr:col>
      <xdr:colOff>640781</xdr:colOff>
      <xdr:row>69</xdr:row>
      <xdr:rowOff>145175</xdr:rowOff>
    </xdr:from>
    <xdr:to>
      <xdr:col>10</xdr:col>
      <xdr:colOff>113882</xdr:colOff>
      <xdr:row>87</xdr:row>
      <xdr:rowOff>146298</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twoCellAnchor>
  <xdr:twoCellAnchor>
    <xdr:from>
      <xdr:col>11</xdr:col>
      <xdr:colOff>846666</xdr:colOff>
      <xdr:row>13</xdr:row>
      <xdr:rowOff>74084</xdr:rowOff>
    </xdr:from>
    <xdr:to>
      <xdr:col>13</xdr:col>
      <xdr:colOff>698500</xdr:colOff>
      <xdr:row>14</xdr:row>
      <xdr:rowOff>275167</xdr:rowOff>
    </xdr:to>
    <xdr:sp macro="" textlink="">
      <xdr:nvSpPr>
        <xdr:cNvPr id="4" name="Rectangle 3">
          <a:hlinkClick xmlns:r="http://schemas.openxmlformats.org/officeDocument/2006/relationships" r:id="rId3"/>
        </xdr:cNvPr>
        <xdr:cNvSpPr/>
      </xdr:nvSpPr>
      <xdr:spPr>
        <a:xfrm>
          <a:off x="14044083" y="3376084"/>
          <a:ext cx="1587500" cy="5715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a:t>
          </a:r>
          <a:r>
            <a:rPr lang="en-GB" sz="1100" baseline="0">
              <a:solidFill>
                <a:sysClr val="windowText" lastClr="000000"/>
              </a:solidFill>
            </a:rPr>
            <a:t> i fynd i </a:t>
          </a:r>
          <a:r>
            <a:rPr lang="en-GB" sz="1100" b="1">
              <a:solidFill>
                <a:sysClr val="windowText" lastClr="000000"/>
              </a:solidFill>
            </a:rPr>
            <a:t>Rhagolygon</a:t>
          </a:r>
          <a:r>
            <a:rPr lang="en-GB" sz="1100" b="1" baseline="0">
              <a:solidFill>
                <a:sysClr val="windowText" lastClr="000000"/>
              </a:solidFill>
            </a:rPr>
            <a:t> y Dyfodol</a:t>
          </a:r>
          <a:r>
            <a:rPr lang="en-GB" sz="1100">
              <a:solidFill>
                <a:sysClr val="windowText" lastClr="000000"/>
              </a:solidFill>
            </a:rPr>
            <a:t>'</a:t>
          </a:r>
        </a:p>
      </xdr:txBody>
    </xdr:sp>
    <xdr:clientData/>
  </xdr:twoCellAnchor>
  <xdr:twoCellAnchor>
    <xdr:from>
      <xdr:col>11</xdr:col>
      <xdr:colOff>836082</xdr:colOff>
      <xdr:row>4</xdr:row>
      <xdr:rowOff>52916</xdr:rowOff>
    </xdr:from>
    <xdr:to>
      <xdr:col>13</xdr:col>
      <xdr:colOff>687916</xdr:colOff>
      <xdr:row>7</xdr:row>
      <xdr:rowOff>21166</xdr:rowOff>
    </xdr:to>
    <xdr:sp macro="" textlink="">
      <xdr:nvSpPr>
        <xdr:cNvPr id="5" name="Rectangle 4">
          <a:hlinkClick xmlns:r="http://schemas.openxmlformats.org/officeDocument/2006/relationships" r:id="rId4"/>
        </xdr:cNvPr>
        <xdr:cNvSpPr/>
      </xdr:nvSpPr>
      <xdr:spPr>
        <a:xfrm>
          <a:off x="14033499" y="1280583"/>
          <a:ext cx="1587500" cy="66675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a:t>
          </a:r>
          <a:r>
            <a:rPr lang="en-GB" sz="1100" baseline="0">
              <a:solidFill>
                <a:sysClr val="windowText" lastClr="000000"/>
              </a:solidFill>
            </a:rPr>
            <a:t> i fynd i</a:t>
          </a:r>
          <a:r>
            <a:rPr lang="en-GB" sz="1100">
              <a:solidFill>
                <a:sysClr val="windowText" lastClr="000000"/>
              </a:solidFill>
            </a:rPr>
            <a:t> </a:t>
          </a:r>
          <a:r>
            <a:rPr lang="en-GB" sz="1100" b="1">
              <a:solidFill>
                <a:sysClr val="windowText" lastClr="000000"/>
              </a:solidFill>
            </a:rPr>
            <a:t>Amcanestyniadau o Aelwydydd</a:t>
          </a:r>
          <a:endParaRPr lang="en-GB" sz="1100">
            <a:solidFill>
              <a:sysClr val="windowText" lastClr="000000"/>
            </a:solidFill>
          </a:endParaRPr>
        </a:p>
      </xdr:txBody>
    </xdr:sp>
    <xdr:clientData/>
  </xdr:twoCellAnchor>
  <xdr:twoCellAnchor>
    <xdr:from>
      <xdr:col>10</xdr:col>
      <xdr:colOff>63500</xdr:colOff>
      <xdr:row>7</xdr:row>
      <xdr:rowOff>95252</xdr:rowOff>
    </xdr:from>
    <xdr:to>
      <xdr:col>11</xdr:col>
      <xdr:colOff>783166</xdr:colOff>
      <xdr:row>10</xdr:row>
      <xdr:rowOff>52916</xdr:rowOff>
    </xdr:to>
    <xdr:sp macro="" textlink="">
      <xdr:nvSpPr>
        <xdr:cNvPr id="6" name="Rectangle 5">
          <a:hlinkClick xmlns:r="http://schemas.openxmlformats.org/officeDocument/2006/relationships" r:id="rId5"/>
        </xdr:cNvPr>
        <xdr:cNvSpPr/>
      </xdr:nvSpPr>
      <xdr:spPr>
        <a:xfrm>
          <a:off x="14001750" y="2021419"/>
          <a:ext cx="1587499" cy="656164"/>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a:t>
          </a:r>
          <a:r>
            <a:rPr lang="en-GB" sz="1100" baseline="0">
              <a:solidFill>
                <a:sysClr val="windowText" lastClr="000000"/>
              </a:solidFill>
            </a:rPr>
            <a:t> i fynd i </a:t>
          </a:r>
          <a:r>
            <a:rPr lang="en-GB" sz="1100" b="1" baseline="0">
              <a:solidFill>
                <a:sysClr val="windowText" lastClr="000000"/>
              </a:solidFill>
            </a:rPr>
            <a:t>Angen Presennol Nas Diwallwyd</a:t>
          </a:r>
          <a:endParaRPr lang="en-GB" sz="1100">
            <a:solidFill>
              <a:sysClr val="windowText" lastClr="000000"/>
            </a:solidFill>
          </a:endParaRPr>
        </a:p>
      </xdr:txBody>
    </xdr:sp>
    <xdr:clientData/>
  </xdr:twoCellAnchor>
  <xdr:twoCellAnchor>
    <xdr:from>
      <xdr:col>11</xdr:col>
      <xdr:colOff>846668</xdr:colOff>
      <xdr:row>7</xdr:row>
      <xdr:rowOff>95252</xdr:rowOff>
    </xdr:from>
    <xdr:to>
      <xdr:col>13</xdr:col>
      <xdr:colOff>698502</xdr:colOff>
      <xdr:row>9</xdr:row>
      <xdr:rowOff>254000</xdr:rowOff>
    </xdr:to>
    <xdr:sp macro="" textlink="">
      <xdr:nvSpPr>
        <xdr:cNvPr id="7" name="Rectangle 6">
          <a:hlinkClick xmlns:r="http://schemas.openxmlformats.org/officeDocument/2006/relationships" r:id="rId6"/>
        </xdr:cNvPr>
        <xdr:cNvSpPr/>
      </xdr:nvSpPr>
      <xdr:spPr>
        <a:xfrm>
          <a:off x="14044085" y="2021419"/>
          <a:ext cx="1587500" cy="539748"/>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fynd i </a:t>
          </a:r>
          <a:r>
            <a:rPr lang="en-GB" sz="1100" b="1">
              <a:solidFill>
                <a:sysClr val="windowText" lastClr="000000"/>
              </a:solidFill>
            </a:rPr>
            <a:t>Incwm (Gogledd Cymru) </a:t>
          </a:r>
        </a:p>
      </xdr:txBody>
    </xdr:sp>
    <xdr:clientData/>
  </xdr:twoCellAnchor>
  <xdr:twoCellAnchor>
    <xdr:from>
      <xdr:col>10</xdr:col>
      <xdr:colOff>52917</xdr:colOff>
      <xdr:row>10</xdr:row>
      <xdr:rowOff>84667</xdr:rowOff>
    </xdr:from>
    <xdr:to>
      <xdr:col>11</xdr:col>
      <xdr:colOff>772583</xdr:colOff>
      <xdr:row>12</xdr:row>
      <xdr:rowOff>296334</xdr:rowOff>
    </xdr:to>
    <xdr:sp macro="" textlink="">
      <xdr:nvSpPr>
        <xdr:cNvPr id="8" name="Rectangle 7">
          <a:hlinkClick xmlns:r="http://schemas.openxmlformats.org/officeDocument/2006/relationships" r:id="rId7"/>
        </xdr:cNvPr>
        <xdr:cNvSpPr/>
      </xdr:nvSpPr>
      <xdr:spPr>
        <a:xfrm>
          <a:off x="13991167" y="2709334"/>
          <a:ext cx="1587499" cy="5715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a:t>
          </a:r>
          <a:r>
            <a:rPr lang="en-GB" sz="1100" baseline="0">
              <a:solidFill>
                <a:sysClr val="windowText" lastClr="000000"/>
              </a:solidFill>
            </a:rPr>
            <a:t> i fynd i </a:t>
          </a:r>
          <a:r>
            <a:rPr lang="en-GB" sz="1100" b="1" baseline="0">
              <a:solidFill>
                <a:sysClr val="windowText" lastClr="000000"/>
              </a:solidFill>
            </a:rPr>
            <a:t>Prisiau Tai (Gogledd Cymru)</a:t>
          </a:r>
          <a:endParaRPr lang="en-GB" sz="1100" b="1">
            <a:solidFill>
              <a:sysClr val="windowText" lastClr="000000"/>
            </a:solidFill>
          </a:endParaRPr>
        </a:p>
      </xdr:txBody>
    </xdr:sp>
    <xdr:clientData/>
  </xdr:twoCellAnchor>
  <xdr:twoCellAnchor>
    <xdr:from>
      <xdr:col>11</xdr:col>
      <xdr:colOff>846667</xdr:colOff>
      <xdr:row>10</xdr:row>
      <xdr:rowOff>21166</xdr:rowOff>
    </xdr:from>
    <xdr:to>
      <xdr:col>13</xdr:col>
      <xdr:colOff>698501</xdr:colOff>
      <xdr:row>12</xdr:row>
      <xdr:rowOff>306917</xdr:rowOff>
    </xdr:to>
    <xdr:sp macro="" textlink="">
      <xdr:nvSpPr>
        <xdr:cNvPr id="9" name="Rectangle 8">
          <a:hlinkClick xmlns:r="http://schemas.openxmlformats.org/officeDocument/2006/relationships" r:id="rId8"/>
        </xdr:cNvPr>
        <xdr:cNvSpPr/>
      </xdr:nvSpPr>
      <xdr:spPr>
        <a:xfrm>
          <a:off x="14044084" y="2645833"/>
          <a:ext cx="1587500" cy="645584"/>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solidFill>
                <a:sysClr val="windowText" lastClr="000000"/>
              </a:solidFill>
            </a:rPr>
            <a:t>CLICIWCH</a:t>
          </a:r>
          <a:r>
            <a:rPr lang="en-GB" sz="1100" baseline="0">
              <a:solidFill>
                <a:sysClr val="windowText" lastClr="000000"/>
              </a:solidFill>
            </a:rPr>
            <a:t> i fynd i </a:t>
          </a:r>
          <a:r>
            <a:rPr lang="en-GB" sz="1100" b="1" baseline="0">
              <a:solidFill>
                <a:sysClr val="windowText" lastClr="000000"/>
              </a:solidFill>
            </a:rPr>
            <a:t>Prisiau Rhenti</a:t>
          </a:r>
          <a:endParaRPr lang="en-GB" sz="1100" b="1">
            <a:solidFill>
              <a:sysClr val="windowText" lastClr="000000"/>
            </a:solidFill>
          </a:endParaRPr>
        </a:p>
      </xdr:txBody>
    </xdr:sp>
    <xdr:clientData/>
  </xdr:twoCellAnchor>
  <xdr:twoCellAnchor>
    <xdr:from>
      <xdr:col>10</xdr:col>
      <xdr:colOff>31750</xdr:colOff>
      <xdr:row>13</xdr:row>
      <xdr:rowOff>84667</xdr:rowOff>
    </xdr:from>
    <xdr:to>
      <xdr:col>11</xdr:col>
      <xdr:colOff>751416</xdr:colOff>
      <xdr:row>15</xdr:row>
      <xdr:rowOff>42334</xdr:rowOff>
    </xdr:to>
    <xdr:sp macro="" textlink="">
      <xdr:nvSpPr>
        <xdr:cNvPr id="10" name="Rectangle 9">
          <a:hlinkClick xmlns:r="http://schemas.openxmlformats.org/officeDocument/2006/relationships" r:id="rId9"/>
        </xdr:cNvPr>
        <xdr:cNvSpPr/>
      </xdr:nvSpPr>
      <xdr:spPr>
        <a:xfrm>
          <a:off x="13970000" y="3386667"/>
          <a:ext cx="1587499" cy="6985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fynd i </a:t>
          </a:r>
          <a:r>
            <a:rPr lang="en-GB" sz="1100" b="1">
              <a:solidFill>
                <a:sysClr val="windowText" lastClr="000000"/>
              </a:solidFill>
            </a:rPr>
            <a:t>Rhagdybiaeth</a:t>
          </a:r>
          <a:r>
            <a:rPr lang="en-GB" sz="1100" b="1" baseline="0">
              <a:solidFill>
                <a:sysClr val="windowText" lastClr="000000"/>
              </a:solidFill>
            </a:rPr>
            <a:t> Blynyddol </a:t>
          </a:r>
          <a:endParaRPr lang="en-GB" sz="1100" b="1">
            <a:solidFill>
              <a:sysClr val="windowText" lastClr="000000"/>
            </a:solidFill>
          </a:endParaRPr>
        </a:p>
      </xdr:txBody>
    </xdr:sp>
    <xdr:clientData/>
  </xdr:twoCellAnchor>
  <xdr:twoCellAnchor>
    <xdr:from>
      <xdr:col>10</xdr:col>
      <xdr:colOff>31751</xdr:colOff>
      <xdr:row>4</xdr:row>
      <xdr:rowOff>52917</xdr:rowOff>
    </xdr:from>
    <xdr:to>
      <xdr:col>11</xdr:col>
      <xdr:colOff>751417</xdr:colOff>
      <xdr:row>7</xdr:row>
      <xdr:rowOff>10583</xdr:rowOff>
    </xdr:to>
    <xdr:sp macro="" textlink="">
      <xdr:nvSpPr>
        <xdr:cNvPr id="11" name="Rectangle 10">
          <a:hlinkClick xmlns:r="http://schemas.openxmlformats.org/officeDocument/2006/relationships" r:id="rId10"/>
        </xdr:cNvPr>
        <xdr:cNvSpPr/>
      </xdr:nvSpPr>
      <xdr:spPr>
        <a:xfrm>
          <a:off x="12361334" y="1280584"/>
          <a:ext cx="1587500" cy="656166"/>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a:t>
          </a:r>
          <a:r>
            <a:rPr lang="en-GB" sz="1100" baseline="0">
              <a:solidFill>
                <a:sysClr val="windowText" lastClr="000000"/>
              </a:solidFill>
            </a:rPr>
            <a:t> i weld i </a:t>
          </a:r>
          <a:r>
            <a:rPr lang="en-GB" sz="1100" b="1" baseline="0">
              <a:solidFill>
                <a:sysClr val="windowText" lastClr="000000"/>
              </a:solidFill>
            </a:rPr>
            <a:t>Canllawiau ar Newidynnau </a:t>
          </a:r>
          <a:endParaRPr lang="en-GB" sz="1100">
            <a:solidFill>
              <a:sysClr val="windowText" lastClr="000000"/>
            </a:solidFill>
          </a:endParaRPr>
        </a:p>
      </xdr:txBody>
    </xdr:sp>
    <xdr:clientData/>
  </xdr:twoCellAnchor>
  <xdr:twoCellAnchor>
    <xdr:from>
      <xdr:col>1</xdr:col>
      <xdr:colOff>21167</xdr:colOff>
      <xdr:row>32</xdr:row>
      <xdr:rowOff>116417</xdr:rowOff>
    </xdr:from>
    <xdr:to>
      <xdr:col>5</xdr:col>
      <xdr:colOff>588737</xdr:colOff>
      <xdr:row>50</xdr:row>
      <xdr:rowOff>121181</xdr:rowOff>
    </xdr:to>
    <xdr:graphicFrame macro="">
      <xdr:nvGraphicFramePr>
        <xdr:cNvPr id="12" name="Chart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fLocksWithSheet="0"/>
  </xdr:twoCellAnchor>
  <xdr:twoCellAnchor>
    <xdr:from>
      <xdr:col>5</xdr:col>
      <xdr:colOff>719665</xdr:colOff>
      <xdr:row>32</xdr:row>
      <xdr:rowOff>116416</xdr:rowOff>
    </xdr:from>
    <xdr:to>
      <xdr:col>10</xdr:col>
      <xdr:colOff>192766</xdr:colOff>
      <xdr:row>50</xdr:row>
      <xdr:rowOff>117539</xdr:rowOff>
    </xdr:to>
    <xdr:graphicFrame macro="">
      <xdr:nvGraphicFramePr>
        <xdr:cNvPr id="13" name="Chart 1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fLocksWithSheet="0"/>
  </xdr:twoCellAnchor>
  <xdr:twoCellAnchor>
    <xdr:from>
      <xdr:col>10</xdr:col>
      <xdr:colOff>35983</xdr:colOff>
      <xdr:row>15</xdr:row>
      <xdr:rowOff>152401</xdr:rowOff>
    </xdr:from>
    <xdr:to>
      <xdr:col>11</xdr:col>
      <xdr:colOff>755649</xdr:colOff>
      <xdr:row>17</xdr:row>
      <xdr:rowOff>88901</xdr:rowOff>
    </xdr:to>
    <xdr:sp macro="" textlink="">
      <xdr:nvSpPr>
        <xdr:cNvPr id="15" name="Rectangle 14">
          <a:hlinkClick xmlns:r="http://schemas.openxmlformats.org/officeDocument/2006/relationships" r:id="rId13"/>
        </xdr:cNvPr>
        <xdr:cNvSpPr/>
      </xdr:nvSpPr>
      <xdr:spPr>
        <a:xfrm>
          <a:off x="13974233" y="4195234"/>
          <a:ext cx="1587499" cy="47625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a:t>
          </a:r>
          <a:r>
            <a:rPr lang="en-GB" sz="1100" baseline="0">
              <a:solidFill>
                <a:sysClr val="windowText" lastClr="000000"/>
              </a:solidFill>
            </a:rPr>
            <a:t> i weld y </a:t>
          </a:r>
          <a:r>
            <a:rPr lang="en-GB" sz="1100" b="1" baseline="0">
              <a:solidFill>
                <a:sysClr val="windowText" lastClr="000000"/>
              </a:solidFill>
            </a:rPr>
            <a:t>Map Rhanbarthol</a:t>
          </a:r>
          <a:endParaRPr lang="en-GB" sz="1100" b="1">
            <a:solidFill>
              <a:sysClr val="windowText" lastClr="000000"/>
            </a:solidFill>
          </a:endParaRPr>
        </a:p>
      </xdr:txBody>
    </xdr:sp>
    <xdr:clientData/>
  </xdr:twoCellAnchor>
  <xdr:twoCellAnchor>
    <xdr:from>
      <xdr:col>11</xdr:col>
      <xdr:colOff>836084</xdr:colOff>
      <xdr:row>15</xdr:row>
      <xdr:rowOff>137584</xdr:rowOff>
    </xdr:from>
    <xdr:to>
      <xdr:col>13</xdr:col>
      <xdr:colOff>719668</xdr:colOff>
      <xdr:row>17</xdr:row>
      <xdr:rowOff>66147</xdr:rowOff>
    </xdr:to>
    <xdr:sp macro="" textlink="">
      <xdr:nvSpPr>
        <xdr:cNvPr id="16" name="Rectangle 15">
          <a:hlinkClick xmlns:r="http://schemas.openxmlformats.org/officeDocument/2006/relationships" r:id="rId14"/>
        </xdr:cNvPr>
        <xdr:cNvSpPr/>
      </xdr:nvSpPr>
      <xdr:spPr>
        <a:xfrm>
          <a:off x="13239751" y="4286251"/>
          <a:ext cx="1619250" cy="46831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fynd i </a:t>
          </a:r>
          <a:r>
            <a:rPr lang="en-GB" sz="1100" b="1" baseline="0">
              <a:solidFill>
                <a:sysClr val="windowText" lastClr="000000"/>
              </a:solidFill>
            </a:rPr>
            <a:t>Cyngor</a:t>
          </a:r>
          <a:endParaRPr lang="en-GB" sz="1100">
            <a:solidFill>
              <a:sysClr val="windowText" lastClr="000000"/>
            </a:solidFill>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236764</xdr:colOff>
      <xdr:row>69</xdr:row>
      <xdr:rowOff>151718</xdr:rowOff>
    </xdr:from>
    <xdr:to>
      <xdr:col>5</xdr:col>
      <xdr:colOff>497417</xdr:colOff>
      <xdr:row>87</xdr:row>
      <xdr:rowOff>156482</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twoCellAnchor>
    <xdr:from>
      <xdr:col>5</xdr:col>
      <xdr:colOff>693698</xdr:colOff>
      <xdr:row>69</xdr:row>
      <xdr:rowOff>134592</xdr:rowOff>
    </xdr:from>
    <xdr:to>
      <xdr:col>10</xdr:col>
      <xdr:colOff>166799</xdr:colOff>
      <xdr:row>87</xdr:row>
      <xdr:rowOff>135715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twoCellAnchor>
  <xdr:twoCellAnchor>
    <xdr:from>
      <xdr:col>1</xdr:col>
      <xdr:colOff>21167</xdr:colOff>
      <xdr:row>32</xdr:row>
      <xdr:rowOff>116417</xdr:rowOff>
    </xdr:from>
    <xdr:to>
      <xdr:col>5</xdr:col>
      <xdr:colOff>588737</xdr:colOff>
      <xdr:row>50</xdr:row>
      <xdr:rowOff>121181</xdr:rowOff>
    </xdr:to>
    <xdr:graphicFrame macro="">
      <xdr:nvGraphicFramePr>
        <xdr:cNvPr id="12" name="Chart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fLocksWithSheet="0"/>
  </xdr:twoCellAnchor>
  <xdr:twoCellAnchor>
    <xdr:from>
      <xdr:col>5</xdr:col>
      <xdr:colOff>719665</xdr:colOff>
      <xdr:row>32</xdr:row>
      <xdr:rowOff>116416</xdr:rowOff>
    </xdr:from>
    <xdr:to>
      <xdr:col>10</xdr:col>
      <xdr:colOff>192766</xdr:colOff>
      <xdr:row>50</xdr:row>
      <xdr:rowOff>117539</xdr:rowOff>
    </xdr:to>
    <xdr:graphicFrame macro="">
      <xdr:nvGraphicFramePr>
        <xdr:cNvPr id="13" name="Chart 1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fLocksWithSheet="0"/>
  </xdr:twoCellAnchor>
  <xdr:twoCellAnchor>
    <xdr:from>
      <xdr:col>11</xdr:col>
      <xdr:colOff>846666</xdr:colOff>
      <xdr:row>13</xdr:row>
      <xdr:rowOff>84667</xdr:rowOff>
    </xdr:from>
    <xdr:to>
      <xdr:col>13</xdr:col>
      <xdr:colOff>698500</xdr:colOff>
      <xdr:row>14</xdr:row>
      <xdr:rowOff>201083</xdr:rowOff>
    </xdr:to>
    <xdr:sp macro="" textlink="">
      <xdr:nvSpPr>
        <xdr:cNvPr id="14" name="Rectangle 13">
          <a:hlinkClick xmlns:r="http://schemas.openxmlformats.org/officeDocument/2006/relationships" r:id="rId5"/>
        </xdr:cNvPr>
        <xdr:cNvSpPr/>
      </xdr:nvSpPr>
      <xdr:spPr>
        <a:xfrm>
          <a:off x="12064999" y="3386667"/>
          <a:ext cx="1587501" cy="48683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a:t>
          </a:r>
          <a:r>
            <a:rPr lang="en-GB" sz="1100" baseline="0">
              <a:solidFill>
                <a:sysClr val="windowText" lastClr="000000"/>
              </a:solidFill>
            </a:rPr>
            <a:t> i fynd i </a:t>
          </a:r>
          <a:r>
            <a:rPr lang="en-GB" sz="1100" b="1" baseline="0">
              <a:solidFill>
                <a:sysClr val="windowText" lastClr="000000"/>
              </a:solidFill>
            </a:rPr>
            <a:t>Rh</a:t>
          </a:r>
          <a:r>
            <a:rPr lang="en-GB" sz="1100" b="1">
              <a:solidFill>
                <a:sysClr val="windowText" lastClr="000000"/>
              </a:solidFill>
            </a:rPr>
            <a:t>agolygon</a:t>
          </a:r>
          <a:r>
            <a:rPr lang="en-GB" sz="1100" b="1" baseline="0">
              <a:solidFill>
                <a:sysClr val="windowText" lastClr="000000"/>
              </a:solidFill>
            </a:rPr>
            <a:t> y Dyfodol</a:t>
          </a:r>
          <a:endParaRPr lang="en-GB" sz="1100">
            <a:solidFill>
              <a:sysClr val="windowText" lastClr="000000"/>
            </a:solidFill>
          </a:endParaRPr>
        </a:p>
      </xdr:txBody>
    </xdr:sp>
    <xdr:clientData/>
  </xdr:twoCellAnchor>
  <xdr:twoCellAnchor>
    <xdr:from>
      <xdr:col>11</xdr:col>
      <xdr:colOff>846665</xdr:colOff>
      <xdr:row>4</xdr:row>
      <xdr:rowOff>63498</xdr:rowOff>
    </xdr:from>
    <xdr:to>
      <xdr:col>13</xdr:col>
      <xdr:colOff>698499</xdr:colOff>
      <xdr:row>6</xdr:row>
      <xdr:rowOff>158750</xdr:rowOff>
    </xdr:to>
    <xdr:sp macro="" textlink="">
      <xdr:nvSpPr>
        <xdr:cNvPr id="15" name="Rectangle 14">
          <a:hlinkClick xmlns:r="http://schemas.openxmlformats.org/officeDocument/2006/relationships" r:id="rId6"/>
        </xdr:cNvPr>
        <xdr:cNvSpPr/>
      </xdr:nvSpPr>
      <xdr:spPr>
        <a:xfrm>
          <a:off x="13779498" y="1291165"/>
          <a:ext cx="1587501" cy="603252"/>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a:t>
          </a:r>
          <a:r>
            <a:rPr lang="en-GB" sz="1100" baseline="0">
              <a:solidFill>
                <a:sysClr val="windowText" lastClr="000000"/>
              </a:solidFill>
            </a:rPr>
            <a:t> i fynd i </a:t>
          </a:r>
          <a:r>
            <a:rPr lang="en-GB" sz="1100" b="1" baseline="0">
              <a:solidFill>
                <a:sysClr val="windowText" lastClr="000000"/>
              </a:solidFill>
            </a:rPr>
            <a:t>Amcanestyniadau o  Aelwydydd</a:t>
          </a:r>
          <a:endParaRPr lang="en-GB" sz="1100">
            <a:solidFill>
              <a:sysClr val="windowText" lastClr="000000"/>
            </a:solidFill>
          </a:endParaRPr>
        </a:p>
      </xdr:txBody>
    </xdr:sp>
    <xdr:clientData/>
  </xdr:twoCellAnchor>
  <xdr:twoCellAnchor>
    <xdr:from>
      <xdr:col>10</xdr:col>
      <xdr:colOff>52916</xdr:colOff>
      <xdr:row>7</xdr:row>
      <xdr:rowOff>31750</xdr:rowOff>
    </xdr:from>
    <xdr:to>
      <xdr:col>11</xdr:col>
      <xdr:colOff>772582</xdr:colOff>
      <xdr:row>9</xdr:row>
      <xdr:rowOff>275165</xdr:rowOff>
    </xdr:to>
    <xdr:sp macro="" textlink="">
      <xdr:nvSpPr>
        <xdr:cNvPr id="16" name="Rectangle 15">
          <a:hlinkClick xmlns:r="http://schemas.openxmlformats.org/officeDocument/2006/relationships" r:id="rId7"/>
        </xdr:cNvPr>
        <xdr:cNvSpPr/>
      </xdr:nvSpPr>
      <xdr:spPr>
        <a:xfrm>
          <a:off x="12117916" y="1957917"/>
          <a:ext cx="1587499" cy="624415"/>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fynd i  </a:t>
          </a:r>
          <a:r>
            <a:rPr lang="en-GB" sz="1100" b="1">
              <a:solidFill>
                <a:sysClr val="windowText" lastClr="000000"/>
              </a:solidFill>
            </a:rPr>
            <a:t>Angen Presennol Nas Diwallwyd</a:t>
          </a:r>
        </a:p>
      </xdr:txBody>
    </xdr:sp>
    <xdr:clientData/>
  </xdr:twoCellAnchor>
  <xdr:twoCellAnchor>
    <xdr:from>
      <xdr:col>11</xdr:col>
      <xdr:colOff>857250</xdr:colOff>
      <xdr:row>7</xdr:row>
      <xdr:rowOff>31750</xdr:rowOff>
    </xdr:from>
    <xdr:to>
      <xdr:col>13</xdr:col>
      <xdr:colOff>709084</xdr:colOff>
      <xdr:row>9</xdr:row>
      <xdr:rowOff>275165</xdr:rowOff>
    </xdr:to>
    <xdr:sp macro="" textlink="">
      <xdr:nvSpPr>
        <xdr:cNvPr id="17" name="Rectangle 16">
          <a:hlinkClick xmlns:r="http://schemas.openxmlformats.org/officeDocument/2006/relationships" r:id="rId8"/>
        </xdr:cNvPr>
        <xdr:cNvSpPr/>
      </xdr:nvSpPr>
      <xdr:spPr>
        <a:xfrm>
          <a:off x="13790083" y="1957917"/>
          <a:ext cx="1587501" cy="624415"/>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a:t>
          </a:r>
          <a:r>
            <a:rPr lang="en-GB" sz="1100" baseline="0">
              <a:solidFill>
                <a:sysClr val="windowText" lastClr="000000"/>
              </a:solidFill>
            </a:rPr>
            <a:t> i fynd i </a:t>
          </a:r>
          <a:r>
            <a:rPr lang="en-GB" sz="1100" b="1" baseline="0">
              <a:solidFill>
                <a:sysClr val="windowText" lastClr="000000"/>
              </a:solidFill>
            </a:rPr>
            <a:t>Incwm (Canolbarth a De-orllewin Cymru) </a:t>
          </a:r>
          <a:endParaRPr lang="en-GB" sz="1100" b="1">
            <a:solidFill>
              <a:sysClr val="windowText" lastClr="000000"/>
            </a:solidFill>
          </a:endParaRPr>
        </a:p>
      </xdr:txBody>
    </xdr:sp>
    <xdr:clientData/>
  </xdr:twoCellAnchor>
  <xdr:twoCellAnchor>
    <xdr:from>
      <xdr:col>10</xdr:col>
      <xdr:colOff>42333</xdr:colOff>
      <xdr:row>10</xdr:row>
      <xdr:rowOff>31750</xdr:rowOff>
    </xdr:from>
    <xdr:to>
      <xdr:col>11</xdr:col>
      <xdr:colOff>761999</xdr:colOff>
      <xdr:row>13</xdr:row>
      <xdr:rowOff>0</xdr:rowOff>
    </xdr:to>
    <xdr:sp macro="" textlink="">
      <xdr:nvSpPr>
        <xdr:cNvPr id="18" name="Rectangle 17">
          <a:hlinkClick xmlns:r="http://schemas.openxmlformats.org/officeDocument/2006/relationships" r:id="rId9"/>
        </xdr:cNvPr>
        <xdr:cNvSpPr/>
      </xdr:nvSpPr>
      <xdr:spPr>
        <a:xfrm>
          <a:off x="10392833" y="2656417"/>
          <a:ext cx="1587499" cy="64558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fynd i </a:t>
          </a:r>
          <a:r>
            <a:rPr lang="en-GB" sz="1100" b="1">
              <a:solidFill>
                <a:sysClr val="windowText" lastClr="000000"/>
              </a:solidFill>
            </a:rPr>
            <a:t>Prisiau</a:t>
          </a:r>
          <a:r>
            <a:rPr lang="en-GB" sz="1100" b="1" baseline="0">
              <a:solidFill>
                <a:sysClr val="windowText" lastClr="000000"/>
              </a:solidFill>
            </a:rPr>
            <a:t> Tai (Canolbarth a De-orllewin Cymru)</a:t>
          </a:r>
          <a:endParaRPr lang="en-GB" sz="1100" b="0">
            <a:solidFill>
              <a:sysClr val="windowText" lastClr="000000"/>
            </a:solidFill>
          </a:endParaRPr>
        </a:p>
      </xdr:txBody>
    </xdr:sp>
    <xdr:clientData/>
  </xdr:twoCellAnchor>
  <xdr:twoCellAnchor>
    <xdr:from>
      <xdr:col>11</xdr:col>
      <xdr:colOff>857250</xdr:colOff>
      <xdr:row>10</xdr:row>
      <xdr:rowOff>31749</xdr:rowOff>
    </xdr:from>
    <xdr:to>
      <xdr:col>13</xdr:col>
      <xdr:colOff>709084</xdr:colOff>
      <xdr:row>13</xdr:row>
      <xdr:rowOff>0</xdr:rowOff>
    </xdr:to>
    <xdr:sp macro="" textlink="">
      <xdr:nvSpPr>
        <xdr:cNvPr id="19" name="Rectangle 18">
          <a:hlinkClick xmlns:r="http://schemas.openxmlformats.org/officeDocument/2006/relationships" r:id="rId10"/>
        </xdr:cNvPr>
        <xdr:cNvSpPr/>
      </xdr:nvSpPr>
      <xdr:spPr>
        <a:xfrm>
          <a:off x="12075583" y="2656416"/>
          <a:ext cx="1587501" cy="645584"/>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solidFill>
                <a:sysClr val="windowText" lastClr="000000"/>
              </a:solidFill>
            </a:rPr>
            <a:t>CLICIWCH i fynd i  </a:t>
          </a:r>
          <a:r>
            <a:rPr lang="en-GB" sz="1100" b="1">
              <a:solidFill>
                <a:sysClr val="windowText" lastClr="000000"/>
              </a:solidFill>
            </a:rPr>
            <a:t>Prisiau Rhenti</a:t>
          </a:r>
        </a:p>
      </xdr:txBody>
    </xdr:sp>
    <xdr:clientData/>
  </xdr:twoCellAnchor>
  <xdr:twoCellAnchor>
    <xdr:from>
      <xdr:col>10</xdr:col>
      <xdr:colOff>42333</xdr:colOff>
      <xdr:row>13</xdr:row>
      <xdr:rowOff>84666</xdr:rowOff>
    </xdr:from>
    <xdr:to>
      <xdr:col>11</xdr:col>
      <xdr:colOff>761999</xdr:colOff>
      <xdr:row>14</xdr:row>
      <xdr:rowOff>349250</xdr:rowOff>
    </xdr:to>
    <xdr:sp macro="" textlink="">
      <xdr:nvSpPr>
        <xdr:cNvPr id="20" name="Rectangle 19">
          <a:hlinkClick xmlns:r="http://schemas.openxmlformats.org/officeDocument/2006/relationships" r:id="rId11"/>
        </xdr:cNvPr>
        <xdr:cNvSpPr/>
      </xdr:nvSpPr>
      <xdr:spPr>
        <a:xfrm>
          <a:off x="12107333" y="3386666"/>
          <a:ext cx="1587499" cy="635001"/>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a:t>
          </a:r>
          <a:r>
            <a:rPr lang="en-GB" sz="1100" baseline="0">
              <a:solidFill>
                <a:sysClr val="windowText" lastClr="000000"/>
              </a:solidFill>
            </a:rPr>
            <a:t> i fynd i </a:t>
          </a:r>
          <a:r>
            <a:rPr lang="en-GB" sz="1100" b="1" baseline="0">
              <a:solidFill>
                <a:sysClr val="windowText" lastClr="000000"/>
              </a:solidFill>
            </a:rPr>
            <a:t>Rhagdybiaethau Blynyddol</a:t>
          </a:r>
          <a:endParaRPr lang="en-GB" sz="1100" b="1">
            <a:solidFill>
              <a:sysClr val="windowText" lastClr="000000"/>
            </a:solidFill>
          </a:endParaRPr>
        </a:p>
      </xdr:txBody>
    </xdr:sp>
    <xdr:clientData/>
  </xdr:twoCellAnchor>
  <xdr:twoCellAnchor>
    <xdr:from>
      <xdr:col>10</xdr:col>
      <xdr:colOff>42334</xdr:colOff>
      <xdr:row>4</xdr:row>
      <xdr:rowOff>63499</xdr:rowOff>
    </xdr:from>
    <xdr:to>
      <xdr:col>11</xdr:col>
      <xdr:colOff>762000</xdr:colOff>
      <xdr:row>6</xdr:row>
      <xdr:rowOff>169333</xdr:rowOff>
    </xdr:to>
    <xdr:sp macro="" textlink="">
      <xdr:nvSpPr>
        <xdr:cNvPr id="21" name="Rectangle 20">
          <a:hlinkClick xmlns:r="http://schemas.openxmlformats.org/officeDocument/2006/relationships" r:id="rId12"/>
        </xdr:cNvPr>
        <xdr:cNvSpPr/>
      </xdr:nvSpPr>
      <xdr:spPr>
        <a:xfrm>
          <a:off x="12107334" y="1291166"/>
          <a:ext cx="1587499" cy="613834"/>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a:t>
          </a:r>
          <a:r>
            <a:rPr lang="en-GB" sz="1100" baseline="0">
              <a:solidFill>
                <a:sysClr val="windowText" lastClr="000000"/>
              </a:solidFill>
            </a:rPr>
            <a:t> i weld </a:t>
          </a:r>
          <a:r>
            <a:rPr lang="en-GB" sz="1100" b="1" baseline="0">
              <a:solidFill>
                <a:sysClr val="windowText" lastClr="000000"/>
              </a:solidFill>
            </a:rPr>
            <a:t>Canllawiau ar Newidynnau</a:t>
          </a:r>
        </a:p>
        <a:p>
          <a:pPr algn="ctr"/>
          <a:endParaRPr lang="en-GB" sz="1100">
            <a:solidFill>
              <a:sysClr val="windowText" lastClr="000000"/>
            </a:solidFill>
          </a:endParaRPr>
        </a:p>
      </xdr:txBody>
    </xdr:sp>
    <xdr:clientData/>
  </xdr:twoCellAnchor>
  <xdr:twoCellAnchor>
    <xdr:from>
      <xdr:col>10</xdr:col>
      <xdr:colOff>52916</xdr:colOff>
      <xdr:row>15</xdr:row>
      <xdr:rowOff>31750</xdr:rowOff>
    </xdr:from>
    <xdr:to>
      <xdr:col>11</xdr:col>
      <xdr:colOff>772582</xdr:colOff>
      <xdr:row>16</xdr:row>
      <xdr:rowOff>285750</xdr:rowOff>
    </xdr:to>
    <xdr:sp macro="" textlink="">
      <xdr:nvSpPr>
        <xdr:cNvPr id="23" name="Rectangle 22">
          <a:hlinkClick xmlns:r="http://schemas.openxmlformats.org/officeDocument/2006/relationships" r:id="rId13"/>
        </xdr:cNvPr>
        <xdr:cNvSpPr/>
      </xdr:nvSpPr>
      <xdr:spPr>
        <a:xfrm>
          <a:off x="10403416" y="4074583"/>
          <a:ext cx="1587499" cy="47625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weld y </a:t>
          </a:r>
          <a:r>
            <a:rPr lang="en-GB" sz="1100" b="1">
              <a:solidFill>
                <a:sysClr val="windowText" lastClr="000000"/>
              </a:solidFill>
            </a:rPr>
            <a:t>Map Rhanbarthol</a:t>
          </a:r>
        </a:p>
      </xdr:txBody>
    </xdr:sp>
    <xdr:clientData/>
  </xdr:twoCellAnchor>
  <xdr:twoCellAnchor>
    <xdr:from>
      <xdr:col>11</xdr:col>
      <xdr:colOff>825501</xdr:colOff>
      <xdr:row>14</xdr:row>
      <xdr:rowOff>359833</xdr:rowOff>
    </xdr:from>
    <xdr:to>
      <xdr:col>13</xdr:col>
      <xdr:colOff>709085</xdr:colOff>
      <xdr:row>16</xdr:row>
      <xdr:rowOff>235480</xdr:rowOff>
    </xdr:to>
    <xdr:sp macro="" textlink="">
      <xdr:nvSpPr>
        <xdr:cNvPr id="22" name="Rectangle 21">
          <a:hlinkClick xmlns:r="http://schemas.openxmlformats.org/officeDocument/2006/relationships" r:id="rId14"/>
        </xdr:cNvPr>
        <xdr:cNvSpPr/>
      </xdr:nvSpPr>
      <xdr:spPr>
        <a:xfrm>
          <a:off x="13133918" y="4032250"/>
          <a:ext cx="1619250" cy="46831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fynd i </a:t>
          </a:r>
          <a:r>
            <a:rPr lang="en-GB" sz="1100" b="1" baseline="0">
              <a:solidFill>
                <a:sysClr val="windowText" lastClr="000000"/>
              </a:solidFill>
            </a:rPr>
            <a:t>Cyngor</a:t>
          </a:r>
          <a:endParaRPr lang="en-GB" sz="1100">
            <a:solidFill>
              <a:sysClr val="windowText" lastClr="000000"/>
            </a:solidFill>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236764</xdr:colOff>
      <xdr:row>69</xdr:row>
      <xdr:rowOff>151718</xdr:rowOff>
    </xdr:from>
    <xdr:to>
      <xdr:col>5</xdr:col>
      <xdr:colOff>497417</xdr:colOff>
      <xdr:row>87</xdr:row>
      <xdr:rowOff>156482</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twoCellAnchor>
    <xdr:from>
      <xdr:col>5</xdr:col>
      <xdr:colOff>693698</xdr:colOff>
      <xdr:row>69</xdr:row>
      <xdr:rowOff>134592</xdr:rowOff>
    </xdr:from>
    <xdr:to>
      <xdr:col>10</xdr:col>
      <xdr:colOff>166799</xdr:colOff>
      <xdr:row>87</xdr:row>
      <xdr:rowOff>135715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twoCellAnchor>
  <xdr:twoCellAnchor>
    <xdr:from>
      <xdr:col>1</xdr:col>
      <xdr:colOff>21167</xdr:colOff>
      <xdr:row>32</xdr:row>
      <xdr:rowOff>116417</xdr:rowOff>
    </xdr:from>
    <xdr:to>
      <xdr:col>5</xdr:col>
      <xdr:colOff>588737</xdr:colOff>
      <xdr:row>50</xdr:row>
      <xdr:rowOff>121181</xdr:rowOff>
    </xdr:to>
    <xdr:graphicFrame macro="">
      <xdr:nvGraphicFramePr>
        <xdr:cNvPr id="12" name="Chart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fLocksWithSheet="0"/>
  </xdr:twoCellAnchor>
  <xdr:twoCellAnchor>
    <xdr:from>
      <xdr:col>5</xdr:col>
      <xdr:colOff>719665</xdr:colOff>
      <xdr:row>32</xdr:row>
      <xdr:rowOff>116416</xdr:rowOff>
    </xdr:from>
    <xdr:to>
      <xdr:col>10</xdr:col>
      <xdr:colOff>192766</xdr:colOff>
      <xdr:row>50</xdr:row>
      <xdr:rowOff>117539</xdr:rowOff>
    </xdr:to>
    <xdr:graphicFrame macro="">
      <xdr:nvGraphicFramePr>
        <xdr:cNvPr id="13" name="Chart 1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fLocksWithSheet="0"/>
  </xdr:twoCellAnchor>
  <xdr:twoCellAnchor>
    <xdr:from>
      <xdr:col>11</xdr:col>
      <xdr:colOff>804333</xdr:colOff>
      <xdr:row>13</xdr:row>
      <xdr:rowOff>84668</xdr:rowOff>
    </xdr:from>
    <xdr:to>
      <xdr:col>13</xdr:col>
      <xdr:colOff>656167</xdr:colOff>
      <xdr:row>14</xdr:row>
      <xdr:rowOff>201084</xdr:rowOff>
    </xdr:to>
    <xdr:sp macro="" textlink="">
      <xdr:nvSpPr>
        <xdr:cNvPr id="22" name="Rectangle 21">
          <a:hlinkClick xmlns:r="http://schemas.openxmlformats.org/officeDocument/2006/relationships" r:id="rId5"/>
        </xdr:cNvPr>
        <xdr:cNvSpPr/>
      </xdr:nvSpPr>
      <xdr:spPr>
        <a:xfrm>
          <a:off x="12022666" y="3386668"/>
          <a:ext cx="1587501" cy="48683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fynd i </a:t>
          </a:r>
          <a:r>
            <a:rPr lang="en-GB" sz="1100" b="1">
              <a:solidFill>
                <a:sysClr val="windowText" lastClr="000000"/>
              </a:solidFill>
            </a:rPr>
            <a:t>Rhagolygon y Dyfodol</a:t>
          </a:r>
          <a:endParaRPr lang="en-GB" sz="1100">
            <a:solidFill>
              <a:sysClr val="windowText" lastClr="000000"/>
            </a:solidFill>
          </a:endParaRPr>
        </a:p>
      </xdr:txBody>
    </xdr:sp>
    <xdr:clientData/>
  </xdr:twoCellAnchor>
  <xdr:twoCellAnchor>
    <xdr:from>
      <xdr:col>11</xdr:col>
      <xdr:colOff>804332</xdr:colOff>
      <xdr:row>4</xdr:row>
      <xdr:rowOff>63500</xdr:rowOff>
    </xdr:from>
    <xdr:to>
      <xdr:col>13</xdr:col>
      <xdr:colOff>656166</xdr:colOff>
      <xdr:row>6</xdr:row>
      <xdr:rowOff>158750</xdr:rowOff>
    </xdr:to>
    <xdr:sp macro="" textlink="">
      <xdr:nvSpPr>
        <xdr:cNvPr id="23" name="Rectangle 22">
          <a:hlinkClick xmlns:r="http://schemas.openxmlformats.org/officeDocument/2006/relationships" r:id="rId6"/>
        </xdr:cNvPr>
        <xdr:cNvSpPr/>
      </xdr:nvSpPr>
      <xdr:spPr>
        <a:xfrm>
          <a:off x="14985999" y="1291167"/>
          <a:ext cx="1587500" cy="60325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fynd i </a:t>
          </a:r>
          <a:r>
            <a:rPr lang="en-GB" sz="1100" b="1">
              <a:solidFill>
                <a:sysClr val="windowText" lastClr="000000"/>
              </a:solidFill>
            </a:rPr>
            <a:t>Amcanestyniadau o Aelwydydd</a:t>
          </a:r>
          <a:endParaRPr lang="en-GB" sz="1100">
            <a:solidFill>
              <a:sysClr val="windowText" lastClr="000000"/>
            </a:solidFill>
          </a:endParaRPr>
        </a:p>
      </xdr:txBody>
    </xdr:sp>
    <xdr:clientData/>
  </xdr:twoCellAnchor>
  <xdr:twoCellAnchor>
    <xdr:from>
      <xdr:col>10</xdr:col>
      <xdr:colOff>10583</xdr:colOff>
      <xdr:row>7</xdr:row>
      <xdr:rowOff>31752</xdr:rowOff>
    </xdr:from>
    <xdr:to>
      <xdr:col>11</xdr:col>
      <xdr:colOff>730249</xdr:colOff>
      <xdr:row>9</xdr:row>
      <xdr:rowOff>275167</xdr:rowOff>
    </xdr:to>
    <xdr:sp macro="" textlink="">
      <xdr:nvSpPr>
        <xdr:cNvPr id="24" name="Rectangle 23">
          <a:hlinkClick xmlns:r="http://schemas.openxmlformats.org/officeDocument/2006/relationships" r:id="rId7"/>
        </xdr:cNvPr>
        <xdr:cNvSpPr/>
      </xdr:nvSpPr>
      <xdr:spPr>
        <a:xfrm>
          <a:off x="12096750" y="1957919"/>
          <a:ext cx="1587499" cy="624415"/>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fynd</a:t>
          </a:r>
          <a:r>
            <a:rPr lang="en-GB" sz="1100" baseline="0">
              <a:solidFill>
                <a:sysClr val="windowText" lastClr="000000"/>
              </a:solidFill>
            </a:rPr>
            <a:t> i</a:t>
          </a:r>
          <a:r>
            <a:rPr lang="en-GB" sz="1100">
              <a:solidFill>
                <a:sysClr val="windowText" lastClr="000000"/>
              </a:solidFill>
            </a:rPr>
            <a:t> </a:t>
          </a:r>
          <a:r>
            <a:rPr lang="en-GB" sz="1100" b="1">
              <a:solidFill>
                <a:sysClr val="windowText" lastClr="000000"/>
              </a:solidFill>
            </a:rPr>
            <a:t>Angen Presennol Nas Diwallwyd</a:t>
          </a:r>
        </a:p>
      </xdr:txBody>
    </xdr:sp>
    <xdr:clientData/>
  </xdr:twoCellAnchor>
  <xdr:twoCellAnchor>
    <xdr:from>
      <xdr:col>11</xdr:col>
      <xdr:colOff>814917</xdr:colOff>
      <xdr:row>7</xdr:row>
      <xdr:rowOff>31752</xdr:rowOff>
    </xdr:from>
    <xdr:to>
      <xdr:col>13</xdr:col>
      <xdr:colOff>666751</xdr:colOff>
      <xdr:row>9</xdr:row>
      <xdr:rowOff>275167</xdr:rowOff>
    </xdr:to>
    <xdr:sp macro="" textlink="">
      <xdr:nvSpPr>
        <xdr:cNvPr id="25" name="Rectangle 24">
          <a:hlinkClick xmlns:r="http://schemas.openxmlformats.org/officeDocument/2006/relationships" r:id="rId8"/>
        </xdr:cNvPr>
        <xdr:cNvSpPr/>
      </xdr:nvSpPr>
      <xdr:spPr>
        <a:xfrm>
          <a:off x="14996584" y="1957919"/>
          <a:ext cx="1587500" cy="624415"/>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fynd i </a:t>
          </a:r>
          <a:r>
            <a:rPr lang="en-GB" sz="1100" b="1">
              <a:solidFill>
                <a:sysClr val="windowText" lastClr="000000"/>
              </a:solidFill>
            </a:rPr>
            <a:t>Incwm (De-ddwyrain Cymru)</a:t>
          </a:r>
        </a:p>
      </xdr:txBody>
    </xdr:sp>
    <xdr:clientData/>
  </xdr:twoCellAnchor>
  <xdr:twoCellAnchor>
    <xdr:from>
      <xdr:col>10</xdr:col>
      <xdr:colOff>0</xdr:colOff>
      <xdr:row>10</xdr:row>
      <xdr:rowOff>31751</xdr:rowOff>
    </xdr:from>
    <xdr:to>
      <xdr:col>11</xdr:col>
      <xdr:colOff>719666</xdr:colOff>
      <xdr:row>13</xdr:row>
      <xdr:rowOff>1</xdr:rowOff>
    </xdr:to>
    <xdr:sp macro="" textlink="">
      <xdr:nvSpPr>
        <xdr:cNvPr id="26" name="Rectangle 25">
          <a:hlinkClick xmlns:r="http://schemas.openxmlformats.org/officeDocument/2006/relationships" r:id="rId9"/>
        </xdr:cNvPr>
        <xdr:cNvSpPr/>
      </xdr:nvSpPr>
      <xdr:spPr>
        <a:xfrm>
          <a:off x="10350500" y="2656418"/>
          <a:ext cx="1587499" cy="64558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fynd i </a:t>
          </a:r>
          <a:r>
            <a:rPr lang="en-GB" sz="1100" b="1">
              <a:solidFill>
                <a:sysClr val="windowText" lastClr="000000"/>
              </a:solidFill>
            </a:rPr>
            <a:t>Prisiau</a:t>
          </a:r>
          <a:r>
            <a:rPr lang="en-GB" sz="1100" b="1" baseline="0">
              <a:solidFill>
                <a:sysClr val="windowText" lastClr="000000"/>
              </a:solidFill>
            </a:rPr>
            <a:t> Tai (De-ddwyrain Cymru)</a:t>
          </a:r>
          <a:endParaRPr lang="en-GB" sz="1100" b="0">
            <a:solidFill>
              <a:sysClr val="windowText" lastClr="000000"/>
            </a:solidFill>
          </a:endParaRPr>
        </a:p>
      </xdr:txBody>
    </xdr:sp>
    <xdr:clientData/>
  </xdr:twoCellAnchor>
  <xdr:twoCellAnchor>
    <xdr:from>
      <xdr:col>11</xdr:col>
      <xdr:colOff>814917</xdr:colOff>
      <xdr:row>10</xdr:row>
      <xdr:rowOff>31750</xdr:rowOff>
    </xdr:from>
    <xdr:to>
      <xdr:col>13</xdr:col>
      <xdr:colOff>666751</xdr:colOff>
      <xdr:row>13</xdr:row>
      <xdr:rowOff>1</xdr:rowOff>
    </xdr:to>
    <xdr:sp macro="" textlink="">
      <xdr:nvSpPr>
        <xdr:cNvPr id="27" name="Rectangle 26">
          <a:hlinkClick xmlns:r="http://schemas.openxmlformats.org/officeDocument/2006/relationships" r:id="rId10"/>
        </xdr:cNvPr>
        <xdr:cNvSpPr/>
      </xdr:nvSpPr>
      <xdr:spPr>
        <a:xfrm>
          <a:off x="12033250" y="2656417"/>
          <a:ext cx="1587501" cy="645584"/>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solidFill>
                <a:sysClr val="windowText" lastClr="000000"/>
              </a:solidFill>
            </a:rPr>
            <a:t>CLICIWCH i fynd i </a:t>
          </a:r>
          <a:r>
            <a:rPr lang="en-GB" sz="1100" b="1">
              <a:solidFill>
                <a:sysClr val="windowText" lastClr="000000"/>
              </a:solidFill>
            </a:rPr>
            <a:t>Prisiau Rhenti</a:t>
          </a:r>
        </a:p>
      </xdr:txBody>
    </xdr:sp>
    <xdr:clientData/>
  </xdr:twoCellAnchor>
  <xdr:twoCellAnchor>
    <xdr:from>
      <xdr:col>10</xdr:col>
      <xdr:colOff>0</xdr:colOff>
      <xdr:row>13</xdr:row>
      <xdr:rowOff>84668</xdr:rowOff>
    </xdr:from>
    <xdr:to>
      <xdr:col>11</xdr:col>
      <xdr:colOff>719666</xdr:colOff>
      <xdr:row>15</xdr:row>
      <xdr:rowOff>21167</xdr:rowOff>
    </xdr:to>
    <xdr:sp macro="" textlink="">
      <xdr:nvSpPr>
        <xdr:cNvPr id="28" name="Rectangle 27">
          <a:hlinkClick xmlns:r="http://schemas.openxmlformats.org/officeDocument/2006/relationships" r:id="rId11"/>
        </xdr:cNvPr>
        <xdr:cNvSpPr/>
      </xdr:nvSpPr>
      <xdr:spPr>
        <a:xfrm>
          <a:off x="13313833" y="3386668"/>
          <a:ext cx="1587500" cy="677332"/>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a:t>
          </a:r>
          <a:r>
            <a:rPr lang="en-GB" sz="1100" baseline="0">
              <a:solidFill>
                <a:sysClr val="windowText" lastClr="000000"/>
              </a:solidFill>
            </a:rPr>
            <a:t> i fynd i</a:t>
          </a:r>
          <a:r>
            <a:rPr lang="en-GB" sz="1100">
              <a:solidFill>
                <a:sysClr val="windowText" lastClr="000000"/>
              </a:solidFill>
            </a:rPr>
            <a:t> </a:t>
          </a:r>
          <a:r>
            <a:rPr lang="en-GB" sz="1100" b="1">
              <a:solidFill>
                <a:sysClr val="windowText" lastClr="000000"/>
              </a:solidFill>
            </a:rPr>
            <a:t>Rhagdybiaeth Blynyddol</a:t>
          </a:r>
        </a:p>
      </xdr:txBody>
    </xdr:sp>
    <xdr:clientData/>
  </xdr:twoCellAnchor>
  <xdr:twoCellAnchor>
    <xdr:from>
      <xdr:col>10</xdr:col>
      <xdr:colOff>1</xdr:colOff>
      <xdr:row>4</xdr:row>
      <xdr:rowOff>63500</xdr:rowOff>
    </xdr:from>
    <xdr:to>
      <xdr:col>11</xdr:col>
      <xdr:colOff>719667</xdr:colOff>
      <xdr:row>6</xdr:row>
      <xdr:rowOff>190499</xdr:rowOff>
    </xdr:to>
    <xdr:sp macro="" textlink="">
      <xdr:nvSpPr>
        <xdr:cNvPr id="29" name="Rectangle 28">
          <a:hlinkClick xmlns:r="http://schemas.openxmlformats.org/officeDocument/2006/relationships" r:id="rId12"/>
        </xdr:cNvPr>
        <xdr:cNvSpPr/>
      </xdr:nvSpPr>
      <xdr:spPr>
        <a:xfrm>
          <a:off x="12086168" y="1291167"/>
          <a:ext cx="1587499" cy="634999"/>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a:t>
          </a:r>
          <a:r>
            <a:rPr lang="en-GB" sz="1100" baseline="0">
              <a:solidFill>
                <a:sysClr val="windowText" lastClr="000000"/>
              </a:solidFill>
            </a:rPr>
            <a:t> i weld </a:t>
          </a:r>
          <a:r>
            <a:rPr lang="en-GB" sz="1100" b="1" baseline="0">
              <a:solidFill>
                <a:sysClr val="windowText" lastClr="000000"/>
              </a:solidFill>
            </a:rPr>
            <a:t>Canllawiau ar Newidynnau</a:t>
          </a:r>
          <a:endParaRPr lang="en-GB" sz="1100">
            <a:solidFill>
              <a:sysClr val="windowText" lastClr="000000"/>
            </a:solidFill>
          </a:endParaRPr>
        </a:p>
      </xdr:txBody>
    </xdr:sp>
    <xdr:clientData/>
  </xdr:twoCellAnchor>
  <xdr:twoCellAnchor>
    <xdr:from>
      <xdr:col>10</xdr:col>
      <xdr:colOff>1</xdr:colOff>
      <xdr:row>15</xdr:row>
      <xdr:rowOff>63499</xdr:rowOff>
    </xdr:from>
    <xdr:to>
      <xdr:col>11</xdr:col>
      <xdr:colOff>719667</xdr:colOff>
      <xdr:row>16</xdr:row>
      <xdr:rowOff>317499</xdr:rowOff>
    </xdr:to>
    <xdr:sp macro="" textlink="">
      <xdr:nvSpPr>
        <xdr:cNvPr id="15" name="Rectangle 14">
          <a:hlinkClick xmlns:r="http://schemas.openxmlformats.org/officeDocument/2006/relationships" r:id="rId13"/>
        </xdr:cNvPr>
        <xdr:cNvSpPr/>
      </xdr:nvSpPr>
      <xdr:spPr>
        <a:xfrm>
          <a:off x="13313834" y="4106332"/>
          <a:ext cx="1587500" cy="47625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a:t>
          </a:r>
          <a:r>
            <a:rPr lang="en-GB" sz="1100" baseline="0">
              <a:solidFill>
                <a:sysClr val="windowText" lastClr="000000"/>
              </a:solidFill>
            </a:rPr>
            <a:t> i weld y </a:t>
          </a:r>
          <a:r>
            <a:rPr lang="en-GB" sz="1100" b="1" baseline="0">
              <a:solidFill>
                <a:sysClr val="windowText" lastClr="000000"/>
              </a:solidFill>
            </a:rPr>
            <a:t>Map Rhanbarthol</a:t>
          </a:r>
          <a:endParaRPr lang="en-GB" sz="1100" b="1">
            <a:solidFill>
              <a:sysClr val="windowText" lastClr="000000"/>
            </a:solidFill>
          </a:endParaRPr>
        </a:p>
      </xdr:txBody>
    </xdr:sp>
    <xdr:clientData/>
  </xdr:twoCellAnchor>
  <xdr:twoCellAnchor>
    <xdr:from>
      <xdr:col>11</xdr:col>
      <xdr:colOff>793750</xdr:colOff>
      <xdr:row>15</xdr:row>
      <xdr:rowOff>63500</xdr:rowOff>
    </xdr:from>
    <xdr:to>
      <xdr:col>13</xdr:col>
      <xdr:colOff>666750</xdr:colOff>
      <xdr:row>16</xdr:row>
      <xdr:rowOff>309563</xdr:rowOff>
    </xdr:to>
    <xdr:sp macro="" textlink="">
      <xdr:nvSpPr>
        <xdr:cNvPr id="16" name="Rectangle 15">
          <a:hlinkClick xmlns:r="http://schemas.openxmlformats.org/officeDocument/2006/relationships" r:id="rId14"/>
        </xdr:cNvPr>
        <xdr:cNvSpPr/>
      </xdr:nvSpPr>
      <xdr:spPr>
        <a:xfrm>
          <a:off x="13049250" y="4106333"/>
          <a:ext cx="1608667" cy="46831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fynd i </a:t>
          </a:r>
          <a:r>
            <a:rPr lang="en-GB" sz="1100" b="1" baseline="0">
              <a:solidFill>
                <a:sysClr val="windowText" lastClr="000000"/>
              </a:solidFill>
            </a:rPr>
            <a:t>Cyngor</a:t>
          </a:r>
          <a:endParaRPr lang="en-GB" sz="1100">
            <a:solidFill>
              <a:sysClr val="windowText" lastClr="000000"/>
            </a:solidFill>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11</xdr:col>
      <xdr:colOff>0</xdr:colOff>
      <xdr:row>1</xdr:row>
      <xdr:rowOff>190499</xdr:rowOff>
    </xdr:from>
    <xdr:to>
      <xdr:col>13</xdr:col>
      <xdr:colOff>368300</xdr:colOff>
      <xdr:row>5</xdr:row>
      <xdr:rowOff>105832</xdr:rowOff>
    </xdr:to>
    <xdr:sp macro="" textlink="">
      <xdr:nvSpPr>
        <xdr:cNvPr id="2" name="Rectangle 1">
          <a:hlinkClick xmlns:r="http://schemas.openxmlformats.org/officeDocument/2006/relationships" r:id="rId1"/>
        </xdr:cNvPr>
        <xdr:cNvSpPr/>
      </xdr:nvSpPr>
      <xdr:spPr>
        <a:xfrm>
          <a:off x="10731500" y="380999"/>
          <a:ext cx="1595967" cy="67733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a:t>
          </a:r>
          <a:r>
            <a:rPr lang="en-GB" sz="1100" baseline="0">
              <a:solidFill>
                <a:sysClr val="windowText" lastClr="000000"/>
              </a:solidFill>
            </a:rPr>
            <a:t> i ddychwelyd i </a:t>
          </a:r>
          <a:r>
            <a:rPr lang="en-GB" sz="1100" b="1" baseline="0">
              <a:solidFill>
                <a:sysClr val="windowText" lastClr="000000"/>
              </a:solidFill>
            </a:rPr>
            <a:t>Raniad y Ddeiliadaeth (Cymru)</a:t>
          </a:r>
          <a:endParaRPr lang="en-GB" sz="1100">
            <a:solidFill>
              <a:sysClr val="windowText" lastClr="000000"/>
            </a:solidFill>
          </a:endParaRPr>
        </a:p>
      </xdr:txBody>
    </xdr:sp>
    <xdr:clientData/>
  </xdr:twoCellAnchor>
  <xdr:twoCellAnchor>
    <xdr:from>
      <xdr:col>11</xdr:col>
      <xdr:colOff>1</xdr:colOff>
      <xdr:row>6</xdr:row>
      <xdr:rowOff>52916</xdr:rowOff>
    </xdr:from>
    <xdr:to>
      <xdr:col>13</xdr:col>
      <xdr:colOff>368301</xdr:colOff>
      <xdr:row>10</xdr:row>
      <xdr:rowOff>105833</xdr:rowOff>
    </xdr:to>
    <xdr:sp macro="" textlink="">
      <xdr:nvSpPr>
        <xdr:cNvPr id="3" name="Rectangle 2">
          <a:hlinkClick xmlns:r="http://schemas.openxmlformats.org/officeDocument/2006/relationships" r:id="rId2"/>
        </xdr:cNvPr>
        <xdr:cNvSpPr/>
      </xdr:nvSpPr>
      <xdr:spPr>
        <a:xfrm>
          <a:off x="10117668" y="1195916"/>
          <a:ext cx="1595966" cy="814917"/>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ddychwelyd i </a:t>
          </a:r>
          <a:r>
            <a:rPr lang="en-GB" sz="1100" b="1">
              <a:solidFill>
                <a:sysClr val="windowText" lastClr="000000"/>
              </a:solidFill>
            </a:rPr>
            <a:t>Raniad y Ddeiliadaeth (Canolbarth a De-orllewin Cymru)</a:t>
          </a:r>
        </a:p>
      </xdr:txBody>
    </xdr:sp>
    <xdr:clientData/>
  </xdr:twoCellAnchor>
  <xdr:twoCellAnchor>
    <xdr:from>
      <xdr:col>13</xdr:col>
      <xdr:colOff>501649</xdr:colOff>
      <xdr:row>2</xdr:row>
      <xdr:rowOff>4232</xdr:rowOff>
    </xdr:from>
    <xdr:to>
      <xdr:col>16</xdr:col>
      <xdr:colOff>256116</xdr:colOff>
      <xdr:row>5</xdr:row>
      <xdr:rowOff>105833</xdr:rowOff>
    </xdr:to>
    <xdr:sp macro="" textlink="">
      <xdr:nvSpPr>
        <xdr:cNvPr id="4" name="Rectangle 3">
          <a:hlinkClick xmlns:r="http://schemas.openxmlformats.org/officeDocument/2006/relationships" r:id="rId3"/>
        </xdr:cNvPr>
        <xdr:cNvSpPr/>
      </xdr:nvSpPr>
      <xdr:spPr>
        <a:xfrm>
          <a:off x="12460816" y="385232"/>
          <a:ext cx="1595967" cy="673101"/>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a:t>
          </a:r>
          <a:r>
            <a:rPr lang="en-GB" sz="1100" baseline="0">
              <a:solidFill>
                <a:sysClr val="windowText" lastClr="000000"/>
              </a:solidFill>
            </a:rPr>
            <a:t> i ddychwelyd i </a:t>
          </a:r>
          <a:r>
            <a:rPr lang="en-GB" sz="1100" b="1" baseline="0">
              <a:solidFill>
                <a:sysClr val="windowText" lastClr="000000"/>
              </a:solidFill>
            </a:rPr>
            <a:t>Raniad y Ddeiliadaeth (Gogledd Cymru)</a:t>
          </a:r>
        </a:p>
      </xdr:txBody>
    </xdr:sp>
    <xdr:clientData/>
  </xdr:twoCellAnchor>
  <xdr:twoCellAnchor>
    <xdr:from>
      <xdr:col>13</xdr:col>
      <xdr:colOff>484716</xdr:colOff>
      <xdr:row>6</xdr:row>
      <xdr:rowOff>61382</xdr:rowOff>
    </xdr:from>
    <xdr:to>
      <xdr:col>16</xdr:col>
      <xdr:colOff>239183</xdr:colOff>
      <xdr:row>9</xdr:row>
      <xdr:rowOff>158749</xdr:rowOff>
    </xdr:to>
    <xdr:sp macro="" textlink="">
      <xdr:nvSpPr>
        <xdr:cNvPr id="5" name="Rectangle 4">
          <a:hlinkClick xmlns:r="http://schemas.openxmlformats.org/officeDocument/2006/relationships" r:id="rId4"/>
        </xdr:cNvPr>
        <xdr:cNvSpPr/>
      </xdr:nvSpPr>
      <xdr:spPr>
        <a:xfrm>
          <a:off x="12443883" y="1204382"/>
          <a:ext cx="1595967" cy="668867"/>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a:t>
          </a:r>
          <a:r>
            <a:rPr lang="en-GB" sz="1100" baseline="0">
              <a:solidFill>
                <a:sysClr val="windowText" lastClr="000000"/>
              </a:solidFill>
            </a:rPr>
            <a:t> i ddychwelyd i </a:t>
          </a:r>
          <a:r>
            <a:rPr lang="en-GB" sz="1100" b="1" baseline="0">
              <a:solidFill>
                <a:sysClr val="windowText" lastClr="000000"/>
              </a:solidFill>
            </a:rPr>
            <a:t>Raniad y Ddeiliadaeth (De-ddwyrain Cymru)</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9</xdr:col>
      <xdr:colOff>457200</xdr:colOff>
      <xdr:row>9</xdr:row>
      <xdr:rowOff>76200</xdr:rowOff>
    </xdr:from>
    <xdr:to>
      <xdr:col>12</xdr:col>
      <xdr:colOff>224366</xdr:colOff>
      <xdr:row>12</xdr:row>
      <xdr:rowOff>180975</xdr:rowOff>
    </xdr:to>
    <xdr:sp macro="" textlink="">
      <xdr:nvSpPr>
        <xdr:cNvPr id="2" name="Rectangle 1">
          <a:hlinkClick xmlns:r="http://schemas.openxmlformats.org/officeDocument/2006/relationships" r:id="rId1"/>
        </xdr:cNvPr>
        <xdr:cNvSpPr/>
      </xdr:nvSpPr>
      <xdr:spPr>
        <a:xfrm>
          <a:off x="7334250" y="2152650"/>
          <a:ext cx="1595966" cy="6858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ddychwelyd i </a:t>
          </a:r>
          <a:r>
            <a:rPr lang="en-GB" sz="1100" b="1">
              <a:solidFill>
                <a:sysClr val="windowText" lastClr="000000"/>
              </a:solidFill>
            </a:rPr>
            <a:t>Raniad</a:t>
          </a:r>
          <a:r>
            <a:rPr lang="en-GB" sz="1100" b="1" baseline="0">
              <a:solidFill>
                <a:sysClr val="windowText" lastClr="000000"/>
              </a:solidFill>
            </a:rPr>
            <a:t> y Ddeiliadaeth (Cymru)</a:t>
          </a:r>
        </a:p>
        <a:p>
          <a:pPr algn="ctr"/>
          <a:endParaRPr lang="en-GB" sz="1100">
            <a:solidFill>
              <a:sysClr val="windowText" lastClr="000000"/>
            </a:solidFill>
          </a:endParaRPr>
        </a:p>
      </xdr:txBody>
    </xdr:sp>
    <xdr:clientData/>
  </xdr:twoCellAnchor>
  <xdr:twoCellAnchor>
    <xdr:from>
      <xdr:col>9</xdr:col>
      <xdr:colOff>457200</xdr:colOff>
      <xdr:row>6</xdr:row>
      <xdr:rowOff>95250</xdr:rowOff>
    </xdr:from>
    <xdr:to>
      <xdr:col>12</xdr:col>
      <xdr:colOff>224366</xdr:colOff>
      <xdr:row>8</xdr:row>
      <xdr:rowOff>114300</xdr:rowOff>
    </xdr:to>
    <xdr:sp macro="" textlink="">
      <xdr:nvSpPr>
        <xdr:cNvPr id="3" name="Rectangle 2">
          <a:hlinkClick xmlns:r="http://schemas.openxmlformats.org/officeDocument/2006/relationships" r:id="rId2"/>
        </xdr:cNvPr>
        <xdr:cNvSpPr/>
      </xdr:nvSpPr>
      <xdr:spPr>
        <a:xfrm>
          <a:off x="7334250" y="1390650"/>
          <a:ext cx="1595966" cy="6096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fynd i </a:t>
          </a:r>
          <a:r>
            <a:rPr lang="en-GB" sz="1100" b="1">
              <a:solidFill>
                <a:sysClr val="windowText" lastClr="000000"/>
              </a:solidFill>
            </a:rPr>
            <a:t>Canllawiau ar Newidynnau</a:t>
          </a:r>
        </a:p>
        <a:p>
          <a:pPr algn="ctr"/>
          <a:endParaRPr lang="en-GB" sz="1100">
            <a:solidFill>
              <a:sysClr val="windowText" lastClr="000000"/>
            </a:solidFill>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9</xdr:col>
      <xdr:colOff>581025</xdr:colOff>
      <xdr:row>4</xdr:row>
      <xdr:rowOff>9524</xdr:rowOff>
    </xdr:from>
    <xdr:to>
      <xdr:col>12</xdr:col>
      <xdr:colOff>348191</xdr:colOff>
      <xdr:row>6</xdr:row>
      <xdr:rowOff>104774</xdr:rowOff>
    </xdr:to>
    <xdr:sp macro="" textlink="">
      <xdr:nvSpPr>
        <xdr:cNvPr id="2" name="Rectangle 1">
          <a:hlinkClick xmlns:r="http://schemas.openxmlformats.org/officeDocument/2006/relationships" r:id="rId1"/>
        </xdr:cNvPr>
        <xdr:cNvSpPr/>
      </xdr:nvSpPr>
      <xdr:spPr>
        <a:xfrm>
          <a:off x="6743700" y="771524"/>
          <a:ext cx="1595966" cy="714375"/>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a:t>
          </a:r>
          <a:r>
            <a:rPr lang="en-GB" sz="1100" baseline="0">
              <a:solidFill>
                <a:sysClr val="windowText" lastClr="000000"/>
              </a:solidFill>
            </a:rPr>
            <a:t> i fynd i </a:t>
          </a:r>
          <a:r>
            <a:rPr lang="en-GB" sz="1100" b="1" baseline="0">
              <a:solidFill>
                <a:sysClr val="windowText" lastClr="000000"/>
              </a:solidFill>
            </a:rPr>
            <a:t>Canllawiau ar Newidynnau</a:t>
          </a:r>
        </a:p>
        <a:p>
          <a:pPr algn="ctr"/>
          <a:endParaRPr lang="en-GB" sz="1100">
            <a:solidFill>
              <a:sysClr val="windowText" lastClr="000000"/>
            </a:solidFill>
          </a:endParaRPr>
        </a:p>
      </xdr:txBody>
    </xdr:sp>
    <xdr:clientData/>
  </xdr:twoCellAnchor>
  <xdr:twoCellAnchor>
    <xdr:from>
      <xdr:col>9</xdr:col>
      <xdr:colOff>590550</xdr:colOff>
      <xdr:row>6</xdr:row>
      <xdr:rowOff>190500</xdr:rowOff>
    </xdr:from>
    <xdr:to>
      <xdr:col>12</xdr:col>
      <xdr:colOff>357716</xdr:colOff>
      <xdr:row>9</xdr:row>
      <xdr:rowOff>133350</xdr:rowOff>
    </xdr:to>
    <xdr:sp macro="" textlink="">
      <xdr:nvSpPr>
        <xdr:cNvPr id="3" name="Rectangle 2">
          <a:hlinkClick xmlns:r="http://schemas.openxmlformats.org/officeDocument/2006/relationships" r:id="rId2"/>
        </xdr:cNvPr>
        <xdr:cNvSpPr/>
      </xdr:nvSpPr>
      <xdr:spPr>
        <a:xfrm>
          <a:off x="6753225" y="1571625"/>
          <a:ext cx="1595966" cy="62865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a:t>
          </a:r>
          <a:r>
            <a:rPr lang="en-GB" sz="1100" baseline="0">
              <a:solidFill>
                <a:sysClr val="windowText" lastClr="000000"/>
              </a:solidFill>
            </a:rPr>
            <a:t> i ddychwelyd i </a:t>
          </a:r>
          <a:r>
            <a:rPr lang="en-GB" sz="1100" b="1" baseline="0">
              <a:solidFill>
                <a:sysClr val="windowText" lastClr="000000"/>
              </a:solidFill>
            </a:rPr>
            <a:t>Raniad y Ddeiliadaeth (Cymru) </a:t>
          </a:r>
        </a:p>
        <a:p>
          <a:pPr algn="ctr"/>
          <a:endParaRPr lang="en-GB" sz="1100">
            <a:solidFill>
              <a:sysClr val="windowText" lastClr="000000"/>
            </a:solidFill>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390525</xdr:colOff>
      <xdr:row>7</xdr:row>
      <xdr:rowOff>0</xdr:rowOff>
    </xdr:from>
    <xdr:to>
      <xdr:col>8</xdr:col>
      <xdr:colOff>157691</xdr:colOff>
      <xdr:row>9</xdr:row>
      <xdr:rowOff>86783</xdr:rowOff>
    </xdr:to>
    <xdr:sp macro="" textlink="">
      <xdr:nvSpPr>
        <xdr:cNvPr id="4" name="Rectangle 3">
          <a:hlinkClick xmlns:r="http://schemas.openxmlformats.org/officeDocument/2006/relationships" r:id="rId1"/>
        </xdr:cNvPr>
        <xdr:cNvSpPr/>
      </xdr:nvSpPr>
      <xdr:spPr>
        <a:xfrm>
          <a:off x="7715250" y="628650"/>
          <a:ext cx="1595966" cy="67733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ddychwelyd</a:t>
          </a:r>
          <a:r>
            <a:rPr lang="en-GB" sz="1100" baseline="0">
              <a:solidFill>
                <a:sysClr val="windowText" lastClr="000000"/>
              </a:solidFill>
            </a:rPr>
            <a:t> i </a:t>
          </a:r>
          <a:r>
            <a:rPr lang="en-GB" sz="1100" b="1" baseline="0">
              <a:solidFill>
                <a:sysClr val="windowText" lastClr="000000"/>
              </a:solidFill>
            </a:rPr>
            <a:t>Raniad y Ddeiliadaeth (Cymru)</a:t>
          </a:r>
        </a:p>
        <a:p>
          <a:pPr algn="ctr"/>
          <a:endParaRPr lang="en-GB" sz="1100">
            <a:solidFill>
              <a:sysClr val="windowText" lastClr="000000"/>
            </a:solidFill>
          </a:endParaRPr>
        </a:p>
      </xdr:txBody>
    </xdr:sp>
    <xdr:clientData/>
  </xdr:twoCellAnchor>
  <xdr:twoCellAnchor>
    <xdr:from>
      <xdr:col>5</xdr:col>
      <xdr:colOff>390526</xdr:colOff>
      <xdr:row>10</xdr:row>
      <xdr:rowOff>33867</xdr:rowOff>
    </xdr:from>
    <xdr:to>
      <xdr:col>8</xdr:col>
      <xdr:colOff>157692</xdr:colOff>
      <xdr:row>14</xdr:row>
      <xdr:rowOff>95250</xdr:rowOff>
    </xdr:to>
    <xdr:sp macro="" textlink="">
      <xdr:nvSpPr>
        <xdr:cNvPr id="5" name="Rectangle 4">
          <a:hlinkClick xmlns:r="http://schemas.openxmlformats.org/officeDocument/2006/relationships" r:id="rId2"/>
        </xdr:cNvPr>
        <xdr:cNvSpPr/>
      </xdr:nvSpPr>
      <xdr:spPr>
        <a:xfrm>
          <a:off x="7715251" y="2386542"/>
          <a:ext cx="1595966" cy="82338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ddychwelyd i </a:t>
          </a:r>
          <a:r>
            <a:rPr lang="en-GB" sz="1100" b="1">
              <a:solidFill>
                <a:sysClr val="windowText" lastClr="000000"/>
              </a:solidFill>
            </a:rPr>
            <a:t>Raniad y Ddeiliadaeth (Canolbarth a De-orllewin Cymru)</a:t>
          </a:r>
          <a:endParaRPr lang="en-GB" sz="1100">
            <a:solidFill>
              <a:sysClr val="windowText" lastClr="000000"/>
            </a:solidFill>
          </a:endParaRPr>
        </a:p>
      </xdr:txBody>
    </xdr:sp>
    <xdr:clientData/>
  </xdr:twoCellAnchor>
  <xdr:twoCellAnchor>
    <xdr:from>
      <xdr:col>8</xdr:col>
      <xdr:colOff>291040</xdr:colOff>
      <xdr:row>7</xdr:row>
      <xdr:rowOff>4233</xdr:rowOff>
    </xdr:from>
    <xdr:to>
      <xdr:col>11</xdr:col>
      <xdr:colOff>58207</xdr:colOff>
      <xdr:row>9</xdr:row>
      <xdr:rowOff>86784</xdr:rowOff>
    </xdr:to>
    <xdr:sp macro="" textlink="">
      <xdr:nvSpPr>
        <xdr:cNvPr id="6" name="Rectangle 5">
          <a:hlinkClick xmlns:r="http://schemas.openxmlformats.org/officeDocument/2006/relationships" r:id="rId3"/>
        </xdr:cNvPr>
        <xdr:cNvSpPr/>
      </xdr:nvSpPr>
      <xdr:spPr>
        <a:xfrm>
          <a:off x="9444565" y="632883"/>
          <a:ext cx="1595967" cy="673101"/>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ddychwelyd</a:t>
          </a:r>
          <a:r>
            <a:rPr lang="en-GB" sz="1100" baseline="0">
              <a:solidFill>
                <a:sysClr val="windowText" lastClr="000000"/>
              </a:solidFill>
            </a:rPr>
            <a:t> i </a:t>
          </a:r>
          <a:r>
            <a:rPr lang="en-GB" sz="1100" b="1" baseline="0">
              <a:solidFill>
                <a:sysClr val="windowText" lastClr="000000"/>
              </a:solidFill>
            </a:rPr>
            <a:t>Raniad y Ddeiliadaeth (Gogledd Cymru)</a:t>
          </a:r>
        </a:p>
      </xdr:txBody>
    </xdr:sp>
    <xdr:clientData/>
  </xdr:twoCellAnchor>
  <xdr:twoCellAnchor>
    <xdr:from>
      <xdr:col>8</xdr:col>
      <xdr:colOff>274107</xdr:colOff>
      <xdr:row>10</xdr:row>
      <xdr:rowOff>42333</xdr:rowOff>
    </xdr:from>
    <xdr:to>
      <xdr:col>11</xdr:col>
      <xdr:colOff>41274</xdr:colOff>
      <xdr:row>14</xdr:row>
      <xdr:rowOff>95250</xdr:rowOff>
    </xdr:to>
    <xdr:sp macro="" textlink="">
      <xdr:nvSpPr>
        <xdr:cNvPr id="7" name="Rectangle 6">
          <a:hlinkClick xmlns:r="http://schemas.openxmlformats.org/officeDocument/2006/relationships" r:id="rId4"/>
        </xdr:cNvPr>
        <xdr:cNvSpPr/>
      </xdr:nvSpPr>
      <xdr:spPr>
        <a:xfrm>
          <a:off x="9427632" y="2395008"/>
          <a:ext cx="1595967" cy="814917"/>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ddychwelyd i </a:t>
          </a:r>
          <a:r>
            <a:rPr lang="en-GB" sz="1100" b="1">
              <a:solidFill>
                <a:sysClr val="windowText" lastClr="000000"/>
              </a:solidFill>
            </a:rPr>
            <a:t>Raniad y Ddeiliadaeth (De-ddwyrain Cymru)</a:t>
          </a:r>
          <a:endParaRPr lang="en-GB" sz="1100">
            <a:solidFill>
              <a:sysClr val="windowText" lastClr="000000"/>
            </a:solidFill>
          </a:endParaRPr>
        </a:p>
      </xdr:txBody>
    </xdr:sp>
    <xdr:clientData/>
  </xdr:twoCellAnchor>
  <xdr:twoCellAnchor>
    <xdr:from>
      <xdr:col>7</xdr:col>
      <xdr:colOff>85725</xdr:colOff>
      <xdr:row>15</xdr:row>
      <xdr:rowOff>123825</xdr:rowOff>
    </xdr:from>
    <xdr:to>
      <xdr:col>9</xdr:col>
      <xdr:colOff>462491</xdr:colOff>
      <xdr:row>18</xdr:row>
      <xdr:rowOff>10583</xdr:rowOff>
    </xdr:to>
    <xdr:sp macro="" textlink="">
      <xdr:nvSpPr>
        <xdr:cNvPr id="8" name="Rectangle 7">
          <a:hlinkClick xmlns:r="http://schemas.openxmlformats.org/officeDocument/2006/relationships" r:id="rId5"/>
        </xdr:cNvPr>
        <xdr:cNvSpPr/>
      </xdr:nvSpPr>
      <xdr:spPr>
        <a:xfrm>
          <a:off x="8629650" y="3429000"/>
          <a:ext cx="1595966" cy="67733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solidFill>
                <a:sysClr val="windowText" lastClr="000000"/>
              </a:solidFill>
            </a:rPr>
            <a:t>CLICIWCH i fynd i </a:t>
          </a:r>
          <a:r>
            <a:rPr lang="en-GB" sz="1100" b="1">
              <a:solidFill>
                <a:sysClr val="windowText" lastClr="000000"/>
              </a:solidFill>
            </a:rPr>
            <a:t>Canllawiau ar Newidynnau</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7</xdr:col>
      <xdr:colOff>180975</xdr:colOff>
      <xdr:row>5</xdr:row>
      <xdr:rowOff>133350</xdr:rowOff>
    </xdr:from>
    <xdr:to>
      <xdr:col>9</xdr:col>
      <xdr:colOff>545041</xdr:colOff>
      <xdr:row>9</xdr:row>
      <xdr:rowOff>13315</xdr:rowOff>
    </xdr:to>
    <xdr:sp macro="" textlink="">
      <xdr:nvSpPr>
        <xdr:cNvPr id="3" name="Rectangle 2">
          <a:hlinkClick xmlns:r="http://schemas.openxmlformats.org/officeDocument/2006/relationships" r:id="rId1"/>
        </xdr:cNvPr>
        <xdr:cNvSpPr/>
      </xdr:nvSpPr>
      <xdr:spPr>
        <a:xfrm>
          <a:off x="4629150" y="1085850"/>
          <a:ext cx="1583266" cy="641965"/>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050">
              <a:solidFill>
                <a:sysClr val="windowText" lastClr="000000"/>
              </a:solidFill>
            </a:rPr>
            <a:t>CLICIWCH</a:t>
          </a:r>
          <a:r>
            <a:rPr lang="en-GB" sz="1050" baseline="0">
              <a:solidFill>
                <a:sysClr val="windowText" lastClr="000000"/>
              </a:solidFill>
            </a:rPr>
            <a:t> i ddychwelyd i </a:t>
          </a:r>
          <a:r>
            <a:rPr lang="en-GB" sz="1050" b="1" baseline="0">
              <a:solidFill>
                <a:sysClr val="windowText" lastClr="000000"/>
              </a:solidFill>
            </a:rPr>
            <a:t>Raniad y Ddeiliadaeth (Cymru)</a:t>
          </a:r>
        </a:p>
        <a:p>
          <a:pPr algn="ctr"/>
          <a:endParaRPr lang="en-GB" sz="1050">
            <a:solidFill>
              <a:sysClr val="windowText" lastClr="000000"/>
            </a:solidFill>
          </a:endParaRPr>
        </a:p>
      </xdr:txBody>
    </xdr:sp>
    <xdr:clientData/>
  </xdr:twoCellAnchor>
  <xdr:twoCellAnchor>
    <xdr:from>
      <xdr:col>7</xdr:col>
      <xdr:colOff>180976</xdr:colOff>
      <xdr:row>9</xdr:row>
      <xdr:rowOff>186266</xdr:rowOff>
    </xdr:from>
    <xdr:to>
      <xdr:col>9</xdr:col>
      <xdr:colOff>545042</xdr:colOff>
      <xdr:row>15</xdr:row>
      <xdr:rowOff>152399</xdr:rowOff>
    </xdr:to>
    <xdr:sp macro="" textlink="">
      <xdr:nvSpPr>
        <xdr:cNvPr id="4" name="Rectangle 3">
          <a:hlinkClick xmlns:r="http://schemas.openxmlformats.org/officeDocument/2006/relationships" r:id="rId2"/>
        </xdr:cNvPr>
        <xdr:cNvSpPr/>
      </xdr:nvSpPr>
      <xdr:spPr>
        <a:xfrm>
          <a:off x="4629151" y="1900766"/>
          <a:ext cx="1583266" cy="110913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effectLst/>
              <a:latin typeface="+mn-lt"/>
              <a:ea typeface="+mn-ea"/>
              <a:cs typeface="+mn-cs"/>
            </a:rPr>
            <a:t>CLICIWCH</a:t>
          </a:r>
          <a:r>
            <a:rPr lang="en-GB" sz="1100" baseline="0">
              <a:solidFill>
                <a:sysClr val="windowText" lastClr="000000"/>
              </a:solidFill>
              <a:effectLst/>
              <a:latin typeface="+mn-lt"/>
              <a:ea typeface="+mn-ea"/>
              <a:cs typeface="+mn-cs"/>
            </a:rPr>
            <a:t> i ddychwelyd i </a:t>
          </a:r>
          <a:r>
            <a:rPr lang="en-GB" sz="1100" b="1" baseline="0">
              <a:solidFill>
                <a:sysClr val="windowText" lastClr="000000"/>
              </a:solidFill>
              <a:effectLst/>
              <a:latin typeface="+mn-lt"/>
              <a:ea typeface="+mn-ea"/>
              <a:cs typeface="+mn-cs"/>
            </a:rPr>
            <a:t>Raniad y Ddeiliadaeth</a:t>
          </a:r>
          <a:r>
            <a:rPr lang="en-GB" sz="1100" baseline="0">
              <a:solidFill>
                <a:sysClr val="windowText" lastClr="000000"/>
              </a:solidFill>
              <a:effectLst/>
              <a:latin typeface="+mn-lt"/>
              <a:ea typeface="+mn-ea"/>
              <a:cs typeface="+mn-cs"/>
            </a:rPr>
            <a:t> </a:t>
          </a:r>
          <a:r>
            <a:rPr lang="en-GB" sz="1100" b="1" baseline="0">
              <a:solidFill>
                <a:sysClr val="windowText" lastClr="000000"/>
              </a:solidFill>
              <a:effectLst/>
              <a:latin typeface="+mn-lt"/>
              <a:ea typeface="+mn-ea"/>
              <a:cs typeface="+mn-cs"/>
            </a:rPr>
            <a:t>(Canolbarth a De-orllewin Cymru)</a:t>
          </a:r>
        </a:p>
        <a:p>
          <a:pPr algn="ctr"/>
          <a:endParaRPr lang="en-GB" sz="1050">
            <a:solidFill>
              <a:sysClr val="windowText" lastClr="000000"/>
            </a:solidFill>
          </a:endParaRPr>
        </a:p>
      </xdr:txBody>
    </xdr:sp>
    <xdr:clientData/>
  </xdr:twoCellAnchor>
  <xdr:twoCellAnchor>
    <xdr:from>
      <xdr:col>10</xdr:col>
      <xdr:colOff>81490</xdr:colOff>
      <xdr:row>5</xdr:row>
      <xdr:rowOff>137582</xdr:rowOff>
    </xdr:from>
    <xdr:to>
      <xdr:col>12</xdr:col>
      <xdr:colOff>445557</xdr:colOff>
      <xdr:row>9</xdr:row>
      <xdr:rowOff>171449</xdr:rowOff>
    </xdr:to>
    <xdr:sp macro="" textlink="">
      <xdr:nvSpPr>
        <xdr:cNvPr id="5" name="Rectangle 4">
          <a:hlinkClick xmlns:r="http://schemas.openxmlformats.org/officeDocument/2006/relationships" r:id="rId3"/>
        </xdr:cNvPr>
        <xdr:cNvSpPr/>
      </xdr:nvSpPr>
      <xdr:spPr>
        <a:xfrm>
          <a:off x="6358465" y="1090082"/>
          <a:ext cx="1583267" cy="795867"/>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effectLst/>
              <a:latin typeface="+mn-lt"/>
              <a:ea typeface="+mn-ea"/>
              <a:cs typeface="+mn-cs"/>
            </a:rPr>
            <a:t>CLICIWCH</a:t>
          </a:r>
          <a:r>
            <a:rPr lang="en-GB" sz="1100" baseline="0">
              <a:solidFill>
                <a:sysClr val="windowText" lastClr="000000"/>
              </a:solidFill>
              <a:effectLst/>
              <a:latin typeface="+mn-lt"/>
              <a:ea typeface="+mn-ea"/>
              <a:cs typeface="+mn-cs"/>
            </a:rPr>
            <a:t> i ddychwelyd i </a:t>
          </a:r>
          <a:r>
            <a:rPr lang="en-GB" sz="1100" b="1" baseline="0">
              <a:solidFill>
                <a:sysClr val="windowText" lastClr="000000"/>
              </a:solidFill>
              <a:effectLst/>
              <a:latin typeface="+mn-lt"/>
              <a:ea typeface="+mn-ea"/>
              <a:cs typeface="+mn-cs"/>
            </a:rPr>
            <a:t>Raniad y Ddeiliadaeth</a:t>
          </a:r>
          <a:r>
            <a:rPr lang="en-GB" sz="1100" baseline="0">
              <a:solidFill>
                <a:sysClr val="windowText" lastClr="000000"/>
              </a:solidFill>
              <a:effectLst/>
              <a:latin typeface="+mn-lt"/>
              <a:ea typeface="+mn-ea"/>
              <a:cs typeface="+mn-cs"/>
            </a:rPr>
            <a:t> </a:t>
          </a:r>
          <a:r>
            <a:rPr lang="en-GB" sz="1100" b="1" baseline="0">
              <a:solidFill>
                <a:sysClr val="windowText" lastClr="000000"/>
              </a:solidFill>
              <a:effectLst/>
              <a:latin typeface="+mn-lt"/>
              <a:ea typeface="+mn-ea"/>
              <a:cs typeface="+mn-cs"/>
            </a:rPr>
            <a:t>(Gogledd Cymru)</a:t>
          </a:r>
          <a:endParaRPr lang="en-GB" sz="1050" b="1">
            <a:solidFill>
              <a:sysClr val="windowText" lastClr="000000"/>
            </a:solidFill>
          </a:endParaRPr>
        </a:p>
      </xdr:txBody>
    </xdr:sp>
    <xdr:clientData/>
  </xdr:twoCellAnchor>
  <xdr:twoCellAnchor>
    <xdr:from>
      <xdr:col>10</xdr:col>
      <xdr:colOff>74082</xdr:colOff>
      <xdr:row>10</xdr:row>
      <xdr:rowOff>42333</xdr:rowOff>
    </xdr:from>
    <xdr:to>
      <xdr:col>12</xdr:col>
      <xdr:colOff>438149</xdr:colOff>
      <xdr:row>14</xdr:row>
      <xdr:rowOff>66675</xdr:rowOff>
    </xdr:to>
    <xdr:sp macro="" textlink="">
      <xdr:nvSpPr>
        <xdr:cNvPr id="6" name="Rectangle 5">
          <a:hlinkClick xmlns:r="http://schemas.openxmlformats.org/officeDocument/2006/relationships" r:id="rId4"/>
        </xdr:cNvPr>
        <xdr:cNvSpPr/>
      </xdr:nvSpPr>
      <xdr:spPr>
        <a:xfrm>
          <a:off x="6351057" y="1947333"/>
          <a:ext cx="1583267" cy="786342"/>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effectLst/>
              <a:latin typeface="+mn-lt"/>
              <a:ea typeface="+mn-ea"/>
              <a:cs typeface="+mn-cs"/>
            </a:rPr>
            <a:t>CLICIWCH</a:t>
          </a:r>
          <a:r>
            <a:rPr lang="en-GB" sz="1100" baseline="0">
              <a:solidFill>
                <a:sysClr val="windowText" lastClr="000000"/>
              </a:solidFill>
              <a:effectLst/>
              <a:latin typeface="+mn-lt"/>
              <a:ea typeface="+mn-ea"/>
              <a:cs typeface="+mn-cs"/>
            </a:rPr>
            <a:t> i ddychwelyd i </a:t>
          </a:r>
          <a:r>
            <a:rPr lang="en-GB" sz="1100" b="1" baseline="0">
              <a:solidFill>
                <a:sysClr val="windowText" lastClr="000000"/>
              </a:solidFill>
              <a:effectLst/>
              <a:latin typeface="+mn-lt"/>
              <a:ea typeface="+mn-ea"/>
              <a:cs typeface="+mn-cs"/>
            </a:rPr>
            <a:t>Raniad y Ddeiliadaeth</a:t>
          </a:r>
          <a:r>
            <a:rPr lang="en-GB" sz="1100" baseline="0">
              <a:solidFill>
                <a:sysClr val="windowText" lastClr="000000"/>
              </a:solidFill>
              <a:effectLst/>
              <a:latin typeface="+mn-lt"/>
              <a:ea typeface="+mn-ea"/>
              <a:cs typeface="+mn-cs"/>
            </a:rPr>
            <a:t>  </a:t>
          </a:r>
          <a:r>
            <a:rPr lang="en-GB" sz="1100" b="1" baseline="0">
              <a:solidFill>
                <a:sysClr val="windowText" lastClr="000000"/>
              </a:solidFill>
              <a:effectLst/>
              <a:latin typeface="+mn-lt"/>
              <a:ea typeface="+mn-ea"/>
              <a:cs typeface="+mn-cs"/>
            </a:rPr>
            <a:t>(De-ddwyrain Cymru)</a:t>
          </a:r>
          <a:endParaRPr lang="en-GB" sz="1050" b="1">
            <a:solidFill>
              <a:sysClr val="windowText" lastClr="000000"/>
            </a:solidFill>
          </a:endParaRPr>
        </a:p>
      </xdr:txBody>
    </xdr:sp>
    <xdr:clientData/>
  </xdr:twoCellAnchor>
  <xdr:twoCellAnchor>
    <xdr:from>
      <xdr:col>9</xdr:col>
      <xdr:colOff>28575</xdr:colOff>
      <xdr:row>16</xdr:row>
      <xdr:rowOff>95250</xdr:rowOff>
    </xdr:from>
    <xdr:to>
      <xdr:col>11</xdr:col>
      <xdr:colOff>392641</xdr:colOff>
      <xdr:row>19</xdr:row>
      <xdr:rowOff>165715</xdr:rowOff>
    </xdr:to>
    <xdr:sp macro="" textlink="">
      <xdr:nvSpPr>
        <xdr:cNvPr id="7" name="Rectangle 6">
          <a:hlinkClick xmlns:r="http://schemas.openxmlformats.org/officeDocument/2006/relationships" r:id="rId5"/>
        </xdr:cNvPr>
        <xdr:cNvSpPr/>
      </xdr:nvSpPr>
      <xdr:spPr>
        <a:xfrm>
          <a:off x="5810250" y="3362325"/>
          <a:ext cx="1583266" cy="641965"/>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50">
              <a:solidFill>
                <a:sysClr val="windowText" lastClr="000000"/>
              </a:solidFill>
            </a:rPr>
            <a:t>CLICIWCH i fynd</a:t>
          </a:r>
          <a:r>
            <a:rPr lang="en-GB" sz="1050" baseline="0">
              <a:solidFill>
                <a:sysClr val="windowText" lastClr="000000"/>
              </a:solidFill>
            </a:rPr>
            <a:t> i </a:t>
          </a:r>
          <a:r>
            <a:rPr lang="en-GB" sz="1050" b="1" baseline="0">
              <a:solidFill>
                <a:sysClr val="windowText" lastClr="000000"/>
              </a:solidFill>
            </a:rPr>
            <a:t>Canllawiau ar Newidynnau</a:t>
          </a:r>
          <a:endParaRPr lang="en-GB" sz="1050">
            <a:solidFill>
              <a:sysClr val="windowText" lastClr="000000"/>
            </a:solidFill>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14</xdr:col>
      <xdr:colOff>352425</xdr:colOff>
      <xdr:row>0</xdr:row>
      <xdr:rowOff>47625</xdr:rowOff>
    </xdr:from>
    <xdr:to>
      <xdr:col>17</xdr:col>
      <xdr:colOff>119591</xdr:colOff>
      <xdr:row>3</xdr:row>
      <xdr:rowOff>9525</xdr:rowOff>
    </xdr:to>
    <xdr:sp macro="" textlink="">
      <xdr:nvSpPr>
        <xdr:cNvPr id="2" name="Rectangle 1">
          <a:hlinkClick xmlns:r="http://schemas.openxmlformats.org/officeDocument/2006/relationships" r:id="rId1"/>
        </xdr:cNvPr>
        <xdr:cNvSpPr/>
      </xdr:nvSpPr>
      <xdr:spPr>
        <a:xfrm>
          <a:off x="11258550" y="47625"/>
          <a:ext cx="1595966" cy="6096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ddychwelyd i </a:t>
          </a:r>
          <a:r>
            <a:rPr lang="en-GB" sz="1100" b="1">
              <a:solidFill>
                <a:sysClr val="windowText" lastClr="000000"/>
              </a:solidFill>
            </a:rPr>
            <a:t>Raniad y Ddeiliadaeth (Cymru)</a:t>
          </a:r>
        </a:p>
        <a:p>
          <a:pPr algn="ctr"/>
          <a:endParaRPr lang="en-GB" sz="1100">
            <a:solidFill>
              <a:sysClr val="windowText" lastClr="000000"/>
            </a:solidFill>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14</xdr:col>
      <xdr:colOff>95250</xdr:colOff>
      <xdr:row>0</xdr:row>
      <xdr:rowOff>76199</xdr:rowOff>
    </xdr:from>
    <xdr:to>
      <xdr:col>17</xdr:col>
      <xdr:colOff>95250</xdr:colOff>
      <xdr:row>3</xdr:row>
      <xdr:rowOff>47624</xdr:rowOff>
    </xdr:to>
    <xdr:sp macro="" textlink="">
      <xdr:nvSpPr>
        <xdr:cNvPr id="2" name="Rectangle 1">
          <a:hlinkClick xmlns:r="http://schemas.openxmlformats.org/officeDocument/2006/relationships" r:id="rId1"/>
        </xdr:cNvPr>
        <xdr:cNvSpPr/>
      </xdr:nvSpPr>
      <xdr:spPr>
        <a:xfrm>
          <a:off x="11001375" y="76199"/>
          <a:ext cx="1828800" cy="619125"/>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a:t>
          </a:r>
          <a:r>
            <a:rPr lang="en-GB" sz="1100" baseline="0">
              <a:solidFill>
                <a:sysClr val="windowText" lastClr="000000"/>
              </a:solidFill>
            </a:rPr>
            <a:t> i ddychwelyd i </a:t>
          </a:r>
          <a:r>
            <a:rPr lang="en-GB" sz="1100" b="1" baseline="0">
              <a:solidFill>
                <a:sysClr val="windowText" lastClr="000000"/>
              </a:solidFill>
            </a:rPr>
            <a:t>Raniad y Ddeiliadaeth (Gogledd Cymru)</a:t>
          </a:r>
          <a:endParaRPr lang="en-GB" sz="1100">
            <a:solidFill>
              <a:sysClr val="windowText" lastClr="000000"/>
            </a:solidFill>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14</xdr:col>
      <xdr:colOff>266700</xdr:colOff>
      <xdr:row>0</xdr:row>
      <xdr:rowOff>85725</xdr:rowOff>
    </xdr:from>
    <xdr:to>
      <xdr:col>17</xdr:col>
      <xdr:colOff>514350</xdr:colOff>
      <xdr:row>3</xdr:row>
      <xdr:rowOff>19050</xdr:rowOff>
    </xdr:to>
    <xdr:sp macro="" textlink="">
      <xdr:nvSpPr>
        <xdr:cNvPr id="2" name="Rectangle 1">
          <a:hlinkClick xmlns:r="http://schemas.openxmlformats.org/officeDocument/2006/relationships" r:id="rId1"/>
        </xdr:cNvPr>
        <xdr:cNvSpPr/>
      </xdr:nvSpPr>
      <xdr:spPr>
        <a:xfrm>
          <a:off x="11172825" y="85725"/>
          <a:ext cx="2076450" cy="581025"/>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a:t>
          </a:r>
          <a:r>
            <a:rPr lang="en-GB" sz="1100" baseline="0">
              <a:solidFill>
                <a:sysClr val="windowText" lastClr="000000"/>
              </a:solidFill>
            </a:rPr>
            <a:t> ddychwelyd i </a:t>
          </a:r>
          <a:r>
            <a:rPr lang="en-GB" sz="1100" b="1" baseline="0">
              <a:solidFill>
                <a:sysClr val="windowText" lastClr="000000"/>
              </a:solidFill>
            </a:rPr>
            <a:t>Raniad y Ddeiliadaeth (Canolbarth a De-orllewin Cymru)</a:t>
          </a:r>
        </a:p>
        <a:p>
          <a:pPr algn="ctr"/>
          <a:endParaRPr lang="en-GB" sz="1100">
            <a:solidFill>
              <a:sysClr val="windowText" lastClr="000000"/>
            </a:solidFill>
          </a:endParaRP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14</xdr:col>
      <xdr:colOff>247649</xdr:colOff>
      <xdr:row>0</xdr:row>
      <xdr:rowOff>66676</xdr:rowOff>
    </xdr:from>
    <xdr:to>
      <xdr:col>17</xdr:col>
      <xdr:colOff>295275</xdr:colOff>
      <xdr:row>2</xdr:row>
      <xdr:rowOff>76201</xdr:rowOff>
    </xdr:to>
    <xdr:sp macro="" textlink="">
      <xdr:nvSpPr>
        <xdr:cNvPr id="2" name="Rectangle 1">
          <a:hlinkClick xmlns:r="http://schemas.openxmlformats.org/officeDocument/2006/relationships" r:id="rId1"/>
        </xdr:cNvPr>
        <xdr:cNvSpPr/>
      </xdr:nvSpPr>
      <xdr:spPr>
        <a:xfrm>
          <a:off x="12030074" y="66676"/>
          <a:ext cx="2219326" cy="47625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ddychwelyd i </a:t>
          </a:r>
          <a:r>
            <a:rPr lang="en-GB" sz="1100" b="1">
              <a:solidFill>
                <a:sysClr val="windowText" lastClr="000000"/>
              </a:solidFill>
            </a:rPr>
            <a:t>Raniad y Ddeiliadaeth (De-ddwyrain Cymru)</a:t>
          </a:r>
        </a:p>
        <a:p>
          <a:pPr algn="ctr"/>
          <a:endParaRPr lang="en-GB" sz="1100">
            <a:solidFill>
              <a:sysClr val="windowText" lastClr="000000"/>
            </a:solidFill>
          </a:endParaRP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14</xdr:col>
      <xdr:colOff>133349</xdr:colOff>
      <xdr:row>0</xdr:row>
      <xdr:rowOff>85724</xdr:rowOff>
    </xdr:from>
    <xdr:to>
      <xdr:col>17</xdr:col>
      <xdr:colOff>371474</xdr:colOff>
      <xdr:row>2</xdr:row>
      <xdr:rowOff>161925</xdr:rowOff>
    </xdr:to>
    <xdr:sp macro="" textlink="">
      <xdr:nvSpPr>
        <xdr:cNvPr id="2" name="Rectangle 1">
          <a:hlinkClick xmlns:r="http://schemas.openxmlformats.org/officeDocument/2006/relationships" r:id="rId1"/>
        </xdr:cNvPr>
        <xdr:cNvSpPr/>
      </xdr:nvSpPr>
      <xdr:spPr>
        <a:xfrm>
          <a:off x="11868149" y="85724"/>
          <a:ext cx="2276475" cy="533401"/>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ddychwelyd i </a:t>
          </a:r>
          <a:r>
            <a:rPr lang="en-GB" sz="1100" b="1">
              <a:solidFill>
                <a:sysClr val="windowText" lastClr="000000"/>
              </a:solidFill>
            </a:rPr>
            <a:t>Raniad y Ddeiliadaeth (Cymru)</a:t>
          </a:r>
        </a:p>
        <a:p>
          <a:pPr algn="ctr"/>
          <a:endParaRPr lang="en-GB" sz="1100">
            <a:solidFill>
              <a:sysClr val="windowText" lastClr="000000"/>
            </a:solidFill>
          </a:endParaRP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14</xdr:col>
      <xdr:colOff>161924</xdr:colOff>
      <xdr:row>0</xdr:row>
      <xdr:rowOff>85725</xdr:rowOff>
    </xdr:from>
    <xdr:to>
      <xdr:col>17</xdr:col>
      <xdr:colOff>438150</xdr:colOff>
      <xdr:row>2</xdr:row>
      <xdr:rowOff>85725</xdr:rowOff>
    </xdr:to>
    <xdr:sp macro="" textlink="">
      <xdr:nvSpPr>
        <xdr:cNvPr id="2" name="Rectangle 1">
          <a:hlinkClick xmlns:r="http://schemas.openxmlformats.org/officeDocument/2006/relationships" r:id="rId1"/>
        </xdr:cNvPr>
        <xdr:cNvSpPr/>
      </xdr:nvSpPr>
      <xdr:spPr>
        <a:xfrm>
          <a:off x="12115799" y="85725"/>
          <a:ext cx="2105026" cy="4572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ddychwelyd i </a:t>
          </a:r>
          <a:r>
            <a:rPr lang="en-GB" sz="1100" b="1">
              <a:solidFill>
                <a:sysClr val="windowText" lastClr="000000"/>
              </a:solidFill>
            </a:rPr>
            <a:t>Raniad y Ddeiliadaeth (Gogledd</a:t>
          </a:r>
          <a:r>
            <a:rPr lang="en-GB" sz="1100" b="1" baseline="0">
              <a:solidFill>
                <a:sysClr val="windowText" lastClr="000000"/>
              </a:solidFill>
            </a:rPr>
            <a:t> Cymru)</a:t>
          </a:r>
        </a:p>
        <a:p>
          <a:pPr algn="ctr"/>
          <a:endParaRPr lang="en-GB" sz="1100">
            <a:solidFill>
              <a:sysClr val="windowText" lastClr="000000"/>
            </a:solidFill>
          </a:endParaRP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14</xdr:col>
      <xdr:colOff>180974</xdr:colOff>
      <xdr:row>0</xdr:row>
      <xdr:rowOff>76200</xdr:rowOff>
    </xdr:from>
    <xdr:to>
      <xdr:col>26</xdr:col>
      <xdr:colOff>142875</xdr:colOff>
      <xdr:row>3</xdr:row>
      <xdr:rowOff>19050</xdr:rowOff>
    </xdr:to>
    <xdr:sp macro="" textlink="">
      <xdr:nvSpPr>
        <xdr:cNvPr id="2" name="Rectangle 1">
          <a:hlinkClick xmlns:r="http://schemas.openxmlformats.org/officeDocument/2006/relationships" r:id="rId1"/>
        </xdr:cNvPr>
        <xdr:cNvSpPr/>
      </xdr:nvSpPr>
      <xdr:spPr>
        <a:xfrm>
          <a:off x="12087224" y="76200"/>
          <a:ext cx="3009901" cy="59055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a:t>
          </a:r>
          <a:r>
            <a:rPr lang="en-GB" sz="1100" baseline="0">
              <a:solidFill>
                <a:sysClr val="windowText" lastClr="000000"/>
              </a:solidFill>
            </a:rPr>
            <a:t> i ddychwelyd i </a:t>
          </a:r>
          <a:r>
            <a:rPr lang="en-GB" sz="1100" b="1" baseline="0">
              <a:solidFill>
                <a:sysClr val="windowText" lastClr="000000"/>
              </a:solidFill>
            </a:rPr>
            <a:t>Raniad y Ddeiliadaeth (Canolbarth a De-orllewin Cymru)</a:t>
          </a:r>
        </a:p>
        <a:p>
          <a:pPr algn="ctr"/>
          <a:endParaRPr lang="en-GB" sz="1100">
            <a:solidFill>
              <a:sysClr val="windowText" lastClr="000000"/>
            </a:solidFill>
          </a:endParaRP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14</xdr:col>
      <xdr:colOff>123825</xdr:colOff>
      <xdr:row>0</xdr:row>
      <xdr:rowOff>76200</xdr:rowOff>
    </xdr:from>
    <xdr:to>
      <xdr:col>17</xdr:col>
      <xdr:colOff>561975</xdr:colOff>
      <xdr:row>2</xdr:row>
      <xdr:rowOff>76200</xdr:rowOff>
    </xdr:to>
    <xdr:sp macro="" textlink="">
      <xdr:nvSpPr>
        <xdr:cNvPr id="2" name="Rectangle 1">
          <a:hlinkClick xmlns:r="http://schemas.openxmlformats.org/officeDocument/2006/relationships" r:id="rId1"/>
        </xdr:cNvPr>
        <xdr:cNvSpPr/>
      </xdr:nvSpPr>
      <xdr:spPr>
        <a:xfrm>
          <a:off x="11772900" y="76200"/>
          <a:ext cx="2266950" cy="4572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solidFill>
                <a:sysClr val="windowText" lastClr="000000"/>
              </a:solidFill>
            </a:rPr>
            <a:t>CLICIWCH i ddychwelyd i </a:t>
          </a:r>
          <a:r>
            <a:rPr lang="en-GB" sz="1100" b="1">
              <a:solidFill>
                <a:sysClr val="windowText" lastClr="000000"/>
              </a:solidFill>
            </a:rPr>
            <a:t>Raniad y Ddeiliadaeth (De-ddwyrain</a:t>
          </a:r>
          <a:r>
            <a:rPr lang="en-GB" sz="1100" b="1" baseline="0">
              <a:solidFill>
                <a:sysClr val="windowText" lastClr="000000"/>
              </a:solidFill>
            </a:rPr>
            <a:t> Cymru)</a:t>
          </a:r>
        </a:p>
        <a:p>
          <a:pPr algn="ctr"/>
          <a:endParaRPr lang="en-GB" sz="1100">
            <a:solidFill>
              <a:sysClr val="windowText" lastClr="000000"/>
            </a:solidFill>
          </a:endParaRP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12</xdr:col>
      <xdr:colOff>347382</xdr:colOff>
      <xdr:row>10</xdr:row>
      <xdr:rowOff>67235</xdr:rowOff>
    </xdr:from>
    <xdr:to>
      <xdr:col>15</xdr:col>
      <xdr:colOff>155762</xdr:colOff>
      <xdr:row>13</xdr:row>
      <xdr:rowOff>103093</xdr:rowOff>
    </xdr:to>
    <xdr:sp macro="" textlink="">
      <xdr:nvSpPr>
        <xdr:cNvPr id="4" name="Rectangle 3">
          <a:hlinkClick xmlns:r="http://schemas.openxmlformats.org/officeDocument/2006/relationships" r:id="rId1"/>
        </xdr:cNvPr>
        <xdr:cNvSpPr/>
      </xdr:nvSpPr>
      <xdr:spPr>
        <a:xfrm>
          <a:off x="7608794" y="2162735"/>
          <a:ext cx="1623733" cy="607358"/>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solidFill>
                <a:sysClr val="windowText" lastClr="000000"/>
              </a:solidFill>
            </a:rPr>
            <a:t>CLICIWCH i fynd i </a:t>
          </a:r>
          <a:r>
            <a:rPr lang="en-GB" sz="1100" b="1">
              <a:solidFill>
                <a:sysClr val="windowText" lastClr="000000"/>
              </a:solidFill>
            </a:rPr>
            <a:t>Raniad y Ddeiliadaeth (Gogledd Cymru</a:t>
          </a:r>
          <a:r>
            <a:rPr lang="en-GB" sz="1100" b="1" baseline="0">
              <a:solidFill>
                <a:sysClr val="windowText" lastClr="000000"/>
              </a:solidFill>
            </a:rPr>
            <a:t>)</a:t>
          </a:r>
          <a:endParaRPr lang="en-GB" sz="1100">
            <a:solidFill>
              <a:sysClr val="windowText" lastClr="000000"/>
            </a:solidFill>
          </a:endParaRPr>
        </a:p>
      </xdr:txBody>
    </xdr:sp>
    <xdr:clientData/>
  </xdr:twoCellAnchor>
  <xdr:twoCellAnchor>
    <xdr:from>
      <xdr:col>12</xdr:col>
      <xdr:colOff>342899</xdr:colOff>
      <xdr:row>14</xdr:row>
      <xdr:rowOff>17926</xdr:rowOff>
    </xdr:from>
    <xdr:to>
      <xdr:col>15</xdr:col>
      <xdr:colOff>151279</xdr:colOff>
      <xdr:row>18</xdr:row>
      <xdr:rowOff>123265</xdr:rowOff>
    </xdr:to>
    <xdr:sp macro="" textlink="">
      <xdr:nvSpPr>
        <xdr:cNvPr id="5" name="Rectangle 4">
          <a:hlinkClick xmlns:r="http://schemas.openxmlformats.org/officeDocument/2006/relationships" r:id="rId2"/>
        </xdr:cNvPr>
        <xdr:cNvSpPr/>
      </xdr:nvSpPr>
      <xdr:spPr>
        <a:xfrm>
          <a:off x="7604311" y="2684926"/>
          <a:ext cx="1623733" cy="867339"/>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solidFill>
                <a:sysClr val="windowText" lastClr="000000"/>
              </a:solidFill>
            </a:rPr>
            <a:t>CLICIWCH</a:t>
          </a:r>
          <a:r>
            <a:rPr lang="en-GB" sz="1100" baseline="0">
              <a:solidFill>
                <a:sysClr val="windowText" lastClr="000000"/>
              </a:solidFill>
            </a:rPr>
            <a:t> i fynd i </a:t>
          </a:r>
          <a:r>
            <a:rPr lang="en-GB" sz="1100" b="1" baseline="0">
              <a:solidFill>
                <a:sysClr val="windowText" lastClr="000000"/>
              </a:solidFill>
            </a:rPr>
            <a:t>Raniad y Ddeiliadaeth (Canolbarth a De-orllewin Cymru)</a:t>
          </a:r>
          <a:endParaRPr lang="en-GB" sz="1100">
            <a:solidFill>
              <a:sysClr val="windowText" lastClr="000000"/>
            </a:solidFill>
          </a:endParaRPr>
        </a:p>
      </xdr:txBody>
    </xdr:sp>
    <xdr:clientData/>
  </xdr:twoCellAnchor>
  <xdr:twoCellAnchor>
    <xdr:from>
      <xdr:col>12</xdr:col>
      <xdr:colOff>349623</xdr:colOff>
      <xdr:row>19</xdr:row>
      <xdr:rowOff>24652</xdr:rowOff>
    </xdr:from>
    <xdr:to>
      <xdr:col>15</xdr:col>
      <xdr:colOff>158003</xdr:colOff>
      <xdr:row>22</xdr:row>
      <xdr:rowOff>60510</xdr:rowOff>
    </xdr:to>
    <xdr:sp macro="" textlink="">
      <xdr:nvSpPr>
        <xdr:cNvPr id="6" name="Rectangle 5">
          <a:hlinkClick xmlns:r="http://schemas.openxmlformats.org/officeDocument/2006/relationships" r:id="rId3"/>
        </xdr:cNvPr>
        <xdr:cNvSpPr/>
      </xdr:nvSpPr>
      <xdr:spPr>
        <a:xfrm>
          <a:off x="7611035" y="3644152"/>
          <a:ext cx="1623733" cy="607358"/>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solidFill>
                <a:sysClr val="windowText" lastClr="000000"/>
              </a:solidFill>
            </a:rPr>
            <a:t>CLICIWCH</a:t>
          </a:r>
          <a:r>
            <a:rPr lang="en-GB" sz="1100" baseline="0">
              <a:solidFill>
                <a:sysClr val="windowText" lastClr="000000"/>
              </a:solidFill>
            </a:rPr>
            <a:t> i fynd i </a:t>
          </a:r>
          <a:r>
            <a:rPr lang="en-GB" sz="1100" b="1" baseline="0">
              <a:solidFill>
                <a:sysClr val="windowText" lastClr="000000"/>
              </a:solidFill>
            </a:rPr>
            <a:t>Raniad y Ddeiliadaeth (De-ddwyrain Cymru)</a:t>
          </a:r>
          <a:endParaRPr lang="en-GB" sz="1100">
            <a:solidFill>
              <a:sysClr val="windowText" lastClr="000000"/>
            </a:solidFill>
          </a:endParaRPr>
        </a:p>
      </xdr:txBody>
    </xdr:sp>
    <xdr:clientData/>
  </xdr:twoCellAnchor>
  <xdr:twoCellAnchor>
    <xdr:from>
      <xdr:col>12</xdr:col>
      <xdr:colOff>345140</xdr:colOff>
      <xdr:row>3</xdr:row>
      <xdr:rowOff>8964</xdr:rowOff>
    </xdr:from>
    <xdr:to>
      <xdr:col>15</xdr:col>
      <xdr:colOff>153520</xdr:colOff>
      <xdr:row>6</xdr:row>
      <xdr:rowOff>44822</xdr:rowOff>
    </xdr:to>
    <xdr:sp macro="" textlink="">
      <xdr:nvSpPr>
        <xdr:cNvPr id="7" name="Rectangle 6">
          <a:hlinkClick xmlns:r="http://schemas.openxmlformats.org/officeDocument/2006/relationships" r:id="rId4"/>
        </xdr:cNvPr>
        <xdr:cNvSpPr/>
      </xdr:nvSpPr>
      <xdr:spPr>
        <a:xfrm>
          <a:off x="7606552" y="770964"/>
          <a:ext cx="1623733" cy="607358"/>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solidFill>
                <a:sysClr val="windowText" lastClr="000000"/>
              </a:solidFill>
            </a:rPr>
            <a:t>CLICIWCH</a:t>
          </a:r>
          <a:r>
            <a:rPr lang="en-GB" sz="1100" baseline="0">
              <a:solidFill>
                <a:sysClr val="windowText" lastClr="000000"/>
              </a:solidFill>
            </a:rPr>
            <a:t> i fynd i'r </a:t>
          </a:r>
          <a:r>
            <a:rPr lang="en-GB" sz="1100" b="1" baseline="0">
              <a:solidFill>
                <a:sysClr val="windowText" lastClr="000000"/>
              </a:solidFill>
            </a:rPr>
            <a:t>Dudalen Flaen</a:t>
          </a:r>
          <a:endParaRPr lang="en-GB" sz="1100">
            <a:solidFill>
              <a:sysClr val="windowText" lastClr="000000"/>
            </a:solidFill>
          </a:endParaRPr>
        </a:p>
      </xdr:txBody>
    </xdr:sp>
    <xdr:clientData/>
  </xdr:twoCellAnchor>
  <xdr:twoCellAnchor>
    <xdr:from>
      <xdr:col>12</xdr:col>
      <xdr:colOff>351863</xdr:colOff>
      <xdr:row>6</xdr:row>
      <xdr:rowOff>138952</xdr:rowOff>
    </xdr:from>
    <xdr:to>
      <xdr:col>15</xdr:col>
      <xdr:colOff>160243</xdr:colOff>
      <xdr:row>9</xdr:row>
      <xdr:rowOff>174810</xdr:rowOff>
    </xdr:to>
    <xdr:sp macro="" textlink="">
      <xdr:nvSpPr>
        <xdr:cNvPr id="8" name="Rectangle 7">
          <a:hlinkClick xmlns:r="http://schemas.openxmlformats.org/officeDocument/2006/relationships" r:id="rId5"/>
        </xdr:cNvPr>
        <xdr:cNvSpPr/>
      </xdr:nvSpPr>
      <xdr:spPr>
        <a:xfrm>
          <a:off x="7613275" y="1472452"/>
          <a:ext cx="1623733" cy="607358"/>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solidFill>
                <a:sysClr val="windowText" lastClr="000000"/>
              </a:solidFill>
            </a:rPr>
            <a:t>CLICIWCH i fynd</a:t>
          </a:r>
          <a:r>
            <a:rPr lang="en-GB" sz="1100" baseline="0">
              <a:solidFill>
                <a:sysClr val="windowText" lastClr="000000"/>
              </a:solidFill>
            </a:rPr>
            <a:t> i </a:t>
          </a:r>
          <a:r>
            <a:rPr lang="en-GB" sz="1100" b="1" baseline="0">
              <a:solidFill>
                <a:sysClr val="windowText" lastClr="000000"/>
              </a:solidFill>
            </a:rPr>
            <a:t>Canllawiau ar Newidynnau</a:t>
          </a:r>
          <a:endParaRPr lang="en-GB" sz="1100">
            <a:solidFill>
              <a:sysClr val="windowText" lastClr="000000"/>
            </a:solidFill>
          </a:endParaRPr>
        </a:p>
      </xdr:txBody>
    </xdr:sp>
    <xdr:clientData/>
  </xdr:twoCellAnchor>
  <xdr:twoCellAnchor>
    <xdr:from>
      <xdr:col>0</xdr:col>
      <xdr:colOff>115981</xdr:colOff>
      <xdr:row>0</xdr:row>
      <xdr:rowOff>143435</xdr:rowOff>
    </xdr:from>
    <xdr:to>
      <xdr:col>10</xdr:col>
      <xdr:colOff>306482</xdr:colOff>
      <xdr:row>47</xdr:row>
      <xdr:rowOff>76760</xdr:rowOff>
    </xdr:to>
    <xdr:pic>
      <xdr:nvPicPr>
        <xdr:cNvPr id="11" name="Picture 10" descr="Map o Gymru sy'n amlinellu ffiniau'r tri rhanbarth economaidd; y gogledd, y canolbarth a'r de-orllewin, a'r de-ddwyrain."/>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15981" y="143435"/>
          <a:ext cx="6241677" cy="8886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nationalarchives.gov.uk/doc/open-government-licence/version/3/" TargetMode="External"/><Relationship Id="rId2" Type="http://schemas.openxmlformats.org/officeDocument/2006/relationships/hyperlink" Target="https://llyw.cymru/amcangyfrifon-or-angen-am-dai-yng-nghymru-fesul-deiliadaeth-sail-2018" TargetMode="External"/><Relationship Id="rId1" Type="http://schemas.openxmlformats.org/officeDocument/2006/relationships/hyperlink" Target="https://llyw.cymru/angen-ar-galw-am-dai-sail-2018"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ystadegau.tai@llyw.cymru" TargetMode="External"/></Relationships>
</file>

<file path=xl/worksheets/_rels/sheet2.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cy.ons.gov.uk/peoplepopulationandcommunity/housing/adhocs/008905ct08512011census?:uri=peoplepopulationandcommunity/housing/adhocs/008905ct08512011census" TargetMode="External"/><Relationship Id="rId7" Type="http://schemas.openxmlformats.org/officeDocument/2006/relationships/printerSettings" Target="../printerSettings/printerSettings2.bin"/><Relationship Id="rId2" Type="http://schemas.openxmlformats.org/officeDocument/2006/relationships/hyperlink" Target="https://obr.uk/download/march-2019-economic-and-fiscal-outlook-supplementary-economy-tables" TargetMode="External"/><Relationship Id="rId1" Type="http://schemas.openxmlformats.org/officeDocument/2006/relationships/hyperlink" Target="https://obr.uk/download/march-2019-economic-and-fiscal-outlook-supplementary-economy-tables" TargetMode="External"/><Relationship Id="rId6" Type="http://schemas.openxmlformats.org/officeDocument/2006/relationships/hyperlink" Target="https://www.ukfinance.org.uk/data-and-research/data/mortgages/regional-lending-trends" TargetMode="External"/><Relationship Id="rId5" Type="http://schemas.openxmlformats.org/officeDocument/2006/relationships/hyperlink" Target="https://www.ukfinance.org.uk/data-and-research/data/mortgages/regional-lending-trends" TargetMode="External"/><Relationship Id="rId4" Type="http://schemas.openxmlformats.org/officeDocument/2006/relationships/hyperlink" Target="http://landregistry.data.gov.uk/app/ppd/"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B1:Q68"/>
  <sheetViews>
    <sheetView showGridLines="0" tabSelected="1" zoomScale="80" zoomScaleNormal="80" workbookViewId="0"/>
  </sheetViews>
  <sheetFormatPr defaultColWidth="9.140625" defaultRowHeight="15" x14ac:dyDescent="0.25"/>
  <cols>
    <col min="1" max="1" width="1.5703125" style="8" customWidth="1"/>
    <col min="2" max="2" width="30.42578125" style="8" customWidth="1"/>
    <col min="3" max="3" width="9.140625" style="8" customWidth="1"/>
    <col min="4" max="15" width="9.140625" style="8"/>
    <col min="16" max="17" width="9.140625" style="8" customWidth="1"/>
    <col min="18" max="16384" width="9.140625" style="8"/>
  </cols>
  <sheetData>
    <row r="1" spans="2:13" ht="23.25" x14ac:dyDescent="0.35">
      <c r="B1" s="214" t="s">
        <v>13</v>
      </c>
    </row>
    <row r="2" spans="2:13" ht="15" customHeight="1" x14ac:dyDescent="0.25">
      <c r="B2" s="8" t="s">
        <v>302</v>
      </c>
      <c r="C2" s="274">
        <v>1</v>
      </c>
    </row>
    <row r="3" spans="2:13" x14ac:dyDescent="0.25">
      <c r="B3" s="8" t="s">
        <v>14</v>
      </c>
      <c r="C3" s="8" t="s">
        <v>347</v>
      </c>
    </row>
    <row r="4" spans="2:13" x14ac:dyDescent="0.25">
      <c r="B4" s="8" t="s">
        <v>15</v>
      </c>
      <c r="C4" s="275" t="s">
        <v>348</v>
      </c>
    </row>
    <row r="6" spans="2:13" ht="18.75" x14ac:dyDescent="0.3">
      <c r="B6" s="10" t="s">
        <v>16</v>
      </c>
    </row>
    <row r="7" spans="2:13" ht="19.5" customHeight="1" x14ac:dyDescent="0.25">
      <c r="B7" s="316" t="s">
        <v>305</v>
      </c>
      <c r="C7" s="317"/>
      <c r="D7" s="317"/>
      <c r="E7" s="317"/>
      <c r="F7" s="317"/>
      <c r="G7" s="317"/>
      <c r="H7" s="317"/>
      <c r="I7" s="317"/>
      <c r="J7" s="317"/>
      <c r="K7" s="317"/>
      <c r="L7" s="317"/>
      <c r="M7" s="318"/>
    </row>
    <row r="8" spans="2:13" ht="19.5" customHeight="1" x14ac:dyDescent="0.25">
      <c r="B8" s="319"/>
      <c r="C8" s="320"/>
      <c r="D8" s="320"/>
      <c r="E8" s="320"/>
      <c r="F8" s="320"/>
      <c r="G8" s="320"/>
      <c r="H8" s="320"/>
      <c r="I8" s="320"/>
      <c r="J8" s="320"/>
      <c r="K8" s="320"/>
      <c r="L8" s="320"/>
      <c r="M8" s="321"/>
    </row>
    <row r="9" spans="2:13" ht="21" customHeight="1" x14ac:dyDescent="0.25">
      <c r="B9" s="319"/>
      <c r="C9" s="320"/>
      <c r="D9" s="320"/>
      <c r="E9" s="320"/>
      <c r="F9" s="320"/>
      <c r="G9" s="320"/>
      <c r="H9" s="320"/>
      <c r="I9" s="320"/>
      <c r="J9" s="320"/>
      <c r="K9" s="320"/>
      <c r="L9" s="320"/>
      <c r="M9" s="321"/>
    </row>
    <row r="10" spans="2:13" ht="19.5" customHeight="1" x14ac:dyDescent="0.25">
      <c r="B10" s="319"/>
      <c r="C10" s="320"/>
      <c r="D10" s="320"/>
      <c r="E10" s="320"/>
      <c r="F10" s="320"/>
      <c r="G10" s="320"/>
      <c r="H10" s="320"/>
      <c r="I10" s="320"/>
      <c r="J10" s="320"/>
      <c r="K10" s="320"/>
      <c r="L10" s="320"/>
      <c r="M10" s="321"/>
    </row>
    <row r="11" spans="2:13" ht="19.5" customHeight="1" x14ac:dyDescent="0.25">
      <c r="B11" s="319"/>
      <c r="C11" s="320"/>
      <c r="D11" s="320"/>
      <c r="E11" s="320"/>
      <c r="F11" s="320"/>
      <c r="G11" s="320"/>
      <c r="H11" s="320"/>
      <c r="I11" s="320"/>
      <c r="J11" s="320"/>
      <c r="K11" s="320"/>
      <c r="L11" s="320"/>
      <c r="M11" s="321"/>
    </row>
    <row r="12" spans="2:13" ht="19.5" customHeight="1" x14ac:dyDescent="0.25">
      <c r="B12" s="319"/>
      <c r="C12" s="320"/>
      <c r="D12" s="320"/>
      <c r="E12" s="320"/>
      <c r="F12" s="320"/>
      <c r="G12" s="320"/>
      <c r="H12" s="320"/>
      <c r="I12" s="320"/>
      <c r="J12" s="320"/>
      <c r="K12" s="320"/>
      <c r="L12" s="320"/>
      <c r="M12" s="321"/>
    </row>
    <row r="13" spans="2:13" ht="19.5" customHeight="1" x14ac:dyDescent="0.25">
      <c r="B13" s="319"/>
      <c r="C13" s="320"/>
      <c r="D13" s="320"/>
      <c r="E13" s="320"/>
      <c r="F13" s="320"/>
      <c r="G13" s="320"/>
      <c r="H13" s="320"/>
      <c r="I13" s="320"/>
      <c r="J13" s="320"/>
      <c r="K13" s="320"/>
      <c r="L13" s="320"/>
      <c r="M13" s="321"/>
    </row>
    <row r="14" spans="2:13" ht="19.5" customHeight="1" x14ac:dyDescent="0.25">
      <c r="B14" s="319"/>
      <c r="C14" s="320"/>
      <c r="D14" s="320"/>
      <c r="E14" s="320"/>
      <c r="F14" s="320"/>
      <c r="G14" s="320"/>
      <c r="H14" s="320"/>
      <c r="I14" s="320"/>
      <c r="J14" s="320"/>
      <c r="K14" s="320"/>
      <c r="L14" s="320"/>
      <c r="M14" s="321"/>
    </row>
    <row r="15" spans="2:13" ht="19.5" customHeight="1" x14ac:dyDescent="0.25">
      <c r="B15" s="319"/>
      <c r="C15" s="320"/>
      <c r="D15" s="320"/>
      <c r="E15" s="320"/>
      <c r="F15" s="320"/>
      <c r="G15" s="320"/>
      <c r="H15" s="320"/>
      <c r="I15" s="320"/>
      <c r="J15" s="320"/>
      <c r="K15" s="320"/>
      <c r="L15" s="320"/>
      <c r="M15" s="321"/>
    </row>
    <row r="16" spans="2:13" ht="19.5" customHeight="1" x14ac:dyDescent="0.25">
      <c r="B16" s="319"/>
      <c r="C16" s="320"/>
      <c r="D16" s="320"/>
      <c r="E16" s="320"/>
      <c r="F16" s="320"/>
      <c r="G16" s="320"/>
      <c r="H16" s="320"/>
      <c r="I16" s="320"/>
      <c r="J16" s="320"/>
      <c r="K16" s="320"/>
      <c r="L16" s="320"/>
      <c r="M16" s="321"/>
    </row>
    <row r="17" spans="2:13" ht="19.5" customHeight="1" x14ac:dyDescent="0.25">
      <c r="B17" s="319"/>
      <c r="C17" s="320"/>
      <c r="D17" s="320"/>
      <c r="E17" s="320"/>
      <c r="F17" s="320"/>
      <c r="G17" s="320"/>
      <c r="H17" s="320"/>
      <c r="I17" s="320"/>
      <c r="J17" s="320"/>
      <c r="K17" s="320"/>
      <c r="L17" s="320"/>
      <c r="M17" s="321"/>
    </row>
    <row r="18" spans="2:13" ht="19.5" customHeight="1" x14ac:dyDescent="0.25">
      <c r="B18" s="319"/>
      <c r="C18" s="320"/>
      <c r="D18" s="320"/>
      <c r="E18" s="320"/>
      <c r="F18" s="320"/>
      <c r="G18" s="320"/>
      <c r="H18" s="320"/>
      <c r="I18" s="320"/>
      <c r="J18" s="320"/>
      <c r="K18" s="320"/>
      <c r="L18" s="320"/>
      <c r="M18" s="321"/>
    </row>
    <row r="19" spans="2:13" ht="19.5" customHeight="1" x14ac:dyDescent="0.25">
      <c r="B19" s="319"/>
      <c r="C19" s="320"/>
      <c r="D19" s="320"/>
      <c r="E19" s="320"/>
      <c r="F19" s="320"/>
      <c r="G19" s="320"/>
      <c r="H19" s="320"/>
      <c r="I19" s="320"/>
      <c r="J19" s="320"/>
      <c r="K19" s="320"/>
      <c r="L19" s="320"/>
      <c r="M19" s="321"/>
    </row>
    <row r="20" spans="2:13" ht="19.5" customHeight="1" x14ac:dyDescent="0.25">
      <c r="B20" s="319"/>
      <c r="C20" s="320"/>
      <c r="D20" s="320"/>
      <c r="E20" s="320"/>
      <c r="F20" s="320"/>
      <c r="G20" s="320"/>
      <c r="H20" s="320"/>
      <c r="I20" s="320"/>
      <c r="J20" s="320"/>
      <c r="K20" s="320"/>
      <c r="L20" s="320"/>
      <c r="M20" s="321"/>
    </row>
    <row r="21" spans="2:13" ht="19.5" customHeight="1" x14ac:dyDescent="0.25">
      <c r="B21" s="319"/>
      <c r="C21" s="320"/>
      <c r="D21" s="320"/>
      <c r="E21" s="320"/>
      <c r="F21" s="320"/>
      <c r="G21" s="320"/>
      <c r="H21" s="320"/>
      <c r="I21" s="320"/>
      <c r="J21" s="320"/>
      <c r="K21" s="320"/>
      <c r="L21" s="320"/>
      <c r="M21" s="321"/>
    </row>
    <row r="22" spans="2:13" ht="19.5" customHeight="1" x14ac:dyDescent="0.25">
      <c r="B22" s="319"/>
      <c r="C22" s="320"/>
      <c r="D22" s="320"/>
      <c r="E22" s="320"/>
      <c r="F22" s="320"/>
      <c r="G22" s="320"/>
      <c r="H22" s="320"/>
      <c r="I22" s="320"/>
      <c r="J22" s="320"/>
      <c r="K22" s="320"/>
      <c r="L22" s="320"/>
      <c r="M22" s="321"/>
    </row>
    <row r="23" spans="2:13" ht="83.25" customHeight="1" x14ac:dyDescent="0.25">
      <c r="B23" s="322"/>
      <c r="C23" s="323"/>
      <c r="D23" s="323"/>
      <c r="E23" s="323"/>
      <c r="F23" s="323"/>
      <c r="G23" s="323"/>
      <c r="H23" s="323"/>
      <c r="I23" s="323"/>
      <c r="J23" s="323"/>
      <c r="K23" s="323"/>
      <c r="L23" s="323"/>
      <c r="M23" s="324"/>
    </row>
    <row r="24" spans="2:13" x14ac:dyDescent="0.25">
      <c r="B24" s="215"/>
      <c r="C24" s="215"/>
      <c r="D24" s="215"/>
      <c r="E24" s="215"/>
      <c r="F24" s="215"/>
      <c r="G24" s="215"/>
      <c r="H24" s="215"/>
      <c r="I24" s="215"/>
      <c r="J24" s="215"/>
      <c r="K24" s="215"/>
      <c r="L24" s="215"/>
      <c r="M24" s="215"/>
    </row>
    <row r="25" spans="2:13" ht="18.75" x14ac:dyDescent="0.3">
      <c r="B25" s="276" t="s">
        <v>17</v>
      </c>
      <c r="C25" s="277"/>
      <c r="D25" s="277"/>
      <c r="E25" s="277"/>
      <c r="F25" s="277"/>
      <c r="G25" s="277"/>
      <c r="H25" s="277"/>
      <c r="I25" s="277"/>
      <c r="J25" s="277"/>
      <c r="K25" s="277"/>
      <c r="L25" s="277"/>
    </row>
    <row r="27" spans="2:13" ht="10.5" customHeight="1" x14ac:dyDescent="0.25">
      <c r="B27" s="3" t="s">
        <v>18</v>
      </c>
    </row>
    <row r="28" spans="2:13" x14ac:dyDescent="0.25">
      <c r="B28" s="325" t="s">
        <v>19</v>
      </c>
      <c r="C28" s="326"/>
      <c r="D28" s="326"/>
      <c r="E28" s="326"/>
      <c r="F28" s="326"/>
      <c r="G28" s="326"/>
      <c r="H28" s="326"/>
      <c r="I28" s="326"/>
      <c r="J28" s="326"/>
      <c r="K28" s="326"/>
      <c r="L28" s="326"/>
      <c r="M28" s="327"/>
    </row>
    <row r="29" spans="2:13" x14ac:dyDescent="0.25">
      <c r="B29" s="328"/>
      <c r="C29" s="329"/>
      <c r="D29" s="329"/>
      <c r="E29" s="329"/>
      <c r="F29" s="329"/>
      <c r="G29" s="329"/>
      <c r="H29" s="329"/>
      <c r="I29" s="329"/>
      <c r="J29" s="329"/>
      <c r="K29" s="329"/>
      <c r="L29" s="329"/>
      <c r="M29" s="330"/>
    </row>
    <row r="30" spans="2:13" x14ac:dyDescent="0.25">
      <c r="B30" s="328"/>
      <c r="C30" s="329"/>
      <c r="D30" s="329"/>
      <c r="E30" s="329"/>
      <c r="F30" s="329"/>
      <c r="G30" s="329"/>
      <c r="H30" s="329"/>
      <c r="I30" s="329"/>
      <c r="J30" s="329"/>
      <c r="K30" s="329"/>
      <c r="L30" s="329"/>
      <c r="M30" s="330"/>
    </row>
    <row r="31" spans="2:13" ht="63.75" customHeight="1" x14ac:dyDescent="0.25">
      <c r="B31" s="331"/>
      <c r="C31" s="332"/>
      <c r="D31" s="332"/>
      <c r="E31" s="332"/>
      <c r="F31" s="332"/>
      <c r="G31" s="332"/>
      <c r="H31" s="332"/>
      <c r="I31" s="332"/>
      <c r="J31" s="332"/>
      <c r="K31" s="332"/>
      <c r="L31" s="332"/>
      <c r="M31" s="333"/>
    </row>
    <row r="33" spans="2:17" x14ac:dyDescent="0.25">
      <c r="B33" s="3" t="s">
        <v>20</v>
      </c>
    </row>
    <row r="34" spans="2:17" s="216" customFormat="1" ht="23.25" customHeight="1" x14ac:dyDescent="0.25">
      <c r="B34" s="217" t="s">
        <v>21</v>
      </c>
      <c r="C34" s="218" t="s">
        <v>22</v>
      </c>
      <c r="D34" s="218"/>
      <c r="E34" s="219"/>
      <c r="F34" s="219"/>
      <c r="G34" s="219"/>
      <c r="H34" s="219"/>
      <c r="I34" s="219"/>
      <c r="J34" s="219"/>
      <c r="K34" s="219"/>
      <c r="L34" s="219"/>
      <c r="M34" s="219"/>
      <c r="N34" s="219"/>
      <c r="O34" s="219"/>
      <c r="P34" s="219"/>
      <c r="Q34" s="220"/>
    </row>
    <row r="35" spans="2:17" ht="14.25" customHeight="1" x14ac:dyDescent="0.25">
      <c r="B35" s="221" t="s">
        <v>23</v>
      </c>
      <c r="C35" s="312" t="s">
        <v>24</v>
      </c>
      <c r="D35" s="312"/>
      <c r="E35" s="312"/>
      <c r="F35" s="312"/>
      <c r="G35" s="312"/>
      <c r="H35" s="312"/>
      <c r="I35" s="312"/>
      <c r="J35" s="312"/>
      <c r="K35" s="312"/>
      <c r="L35" s="312"/>
      <c r="M35" s="312"/>
      <c r="N35" s="312"/>
      <c r="O35" s="312"/>
      <c r="P35" s="312"/>
      <c r="Q35" s="313"/>
    </row>
    <row r="36" spans="2:17" ht="29.25" customHeight="1" x14ac:dyDescent="0.25">
      <c r="B36" s="262" t="s">
        <v>25</v>
      </c>
      <c r="C36" s="314" t="s">
        <v>26</v>
      </c>
      <c r="D36" s="314"/>
      <c r="E36" s="314"/>
      <c r="F36" s="314"/>
      <c r="G36" s="314"/>
      <c r="H36" s="314"/>
      <c r="I36" s="314"/>
      <c r="J36" s="314"/>
      <c r="K36" s="314"/>
      <c r="L36" s="314"/>
      <c r="M36" s="314"/>
      <c r="N36" s="314"/>
      <c r="O36" s="314"/>
      <c r="P36" s="314"/>
      <c r="Q36" s="315"/>
    </row>
    <row r="37" spans="2:17" ht="29.25" customHeight="1" x14ac:dyDescent="0.25">
      <c r="B37" s="263" t="s">
        <v>27</v>
      </c>
      <c r="C37" s="314" t="s">
        <v>41</v>
      </c>
      <c r="D37" s="314"/>
      <c r="E37" s="314"/>
      <c r="F37" s="314"/>
      <c r="G37" s="314"/>
      <c r="H37" s="314"/>
      <c r="I37" s="314"/>
      <c r="J37" s="314"/>
      <c r="K37" s="314"/>
      <c r="L37" s="314"/>
      <c r="M37" s="314"/>
      <c r="N37" s="314"/>
      <c r="O37" s="314"/>
      <c r="P37" s="314"/>
      <c r="Q37" s="315"/>
    </row>
    <row r="38" spans="2:17" ht="34.5" customHeight="1" x14ac:dyDescent="0.25">
      <c r="B38" s="263" t="s">
        <v>57</v>
      </c>
      <c r="C38" s="314" t="s">
        <v>42</v>
      </c>
      <c r="D38" s="314"/>
      <c r="E38" s="314"/>
      <c r="F38" s="314"/>
      <c r="G38" s="314"/>
      <c r="H38" s="314"/>
      <c r="I38" s="314"/>
      <c r="J38" s="314"/>
      <c r="K38" s="314"/>
      <c r="L38" s="314"/>
      <c r="M38" s="314"/>
      <c r="N38" s="314"/>
      <c r="O38" s="314"/>
      <c r="P38" s="314"/>
      <c r="Q38" s="315"/>
    </row>
    <row r="39" spans="2:17" ht="27.75" customHeight="1" x14ac:dyDescent="0.25">
      <c r="B39" s="262" t="s">
        <v>58</v>
      </c>
      <c r="C39" s="314" t="s">
        <v>67</v>
      </c>
      <c r="D39" s="314"/>
      <c r="E39" s="314"/>
      <c r="F39" s="314"/>
      <c r="G39" s="314"/>
      <c r="H39" s="314"/>
      <c r="I39" s="314"/>
      <c r="J39" s="314"/>
      <c r="K39" s="314"/>
      <c r="L39" s="314"/>
      <c r="M39" s="314"/>
      <c r="N39" s="314"/>
      <c r="O39" s="314"/>
      <c r="P39" s="314"/>
      <c r="Q39" s="315"/>
    </row>
    <row r="40" spans="2:17" ht="14.25" customHeight="1" x14ac:dyDescent="0.25">
      <c r="B40" s="222" t="s">
        <v>28</v>
      </c>
      <c r="C40" s="310" t="s">
        <v>43</v>
      </c>
      <c r="D40" s="310"/>
      <c r="E40" s="310"/>
      <c r="F40" s="310"/>
      <c r="G40" s="310"/>
      <c r="H40" s="310"/>
      <c r="I40" s="310"/>
      <c r="J40" s="310"/>
      <c r="K40" s="310"/>
      <c r="L40" s="310"/>
      <c r="M40" s="310"/>
      <c r="N40" s="310"/>
      <c r="O40" s="310"/>
      <c r="P40" s="310"/>
      <c r="Q40" s="311"/>
    </row>
    <row r="41" spans="2:17" ht="14.25" customHeight="1" x14ac:dyDescent="0.25">
      <c r="B41" s="222" t="s">
        <v>29</v>
      </c>
      <c r="C41" s="310" t="s">
        <v>44</v>
      </c>
      <c r="D41" s="310"/>
      <c r="E41" s="310"/>
      <c r="F41" s="310"/>
      <c r="G41" s="310"/>
      <c r="H41" s="310"/>
      <c r="I41" s="310"/>
      <c r="J41" s="310"/>
      <c r="K41" s="310"/>
      <c r="L41" s="310"/>
      <c r="M41" s="310"/>
      <c r="N41" s="310"/>
      <c r="O41" s="310"/>
      <c r="P41" s="310"/>
      <c r="Q41" s="311"/>
    </row>
    <row r="42" spans="2:17" ht="14.25" customHeight="1" x14ac:dyDescent="0.25">
      <c r="B42" s="222" t="s">
        <v>59</v>
      </c>
      <c r="C42" s="310" t="s">
        <v>65</v>
      </c>
      <c r="D42" s="310"/>
      <c r="E42" s="310"/>
      <c r="F42" s="310"/>
      <c r="G42" s="310"/>
      <c r="H42" s="310"/>
      <c r="I42" s="310"/>
      <c r="J42" s="310"/>
      <c r="K42" s="310"/>
      <c r="L42" s="310"/>
      <c r="M42" s="310"/>
      <c r="N42" s="310"/>
      <c r="O42" s="310"/>
      <c r="P42" s="310"/>
      <c r="Q42" s="311"/>
    </row>
    <row r="43" spans="2:17" ht="14.25" customHeight="1" x14ac:dyDescent="0.25">
      <c r="B43" s="222" t="s">
        <v>60</v>
      </c>
      <c r="C43" s="310" t="s">
        <v>66</v>
      </c>
      <c r="D43" s="310"/>
      <c r="E43" s="310"/>
      <c r="F43" s="310"/>
      <c r="G43" s="310"/>
      <c r="H43" s="310"/>
      <c r="I43" s="310"/>
      <c r="J43" s="310"/>
      <c r="K43" s="310"/>
      <c r="L43" s="310"/>
      <c r="M43" s="310"/>
      <c r="N43" s="310"/>
      <c r="O43" s="310"/>
      <c r="P43" s="310"/>
      <c r="Q43" s="311"/>
    </row>
    <row r="44" spans="2:17" ht="14.25" customHeight="1" x14ac:dyDescent="0.25">
      <c r="B44" s="222" t="s">
        <v>30</v>
      </c>
      <c r="C44" s="310" t="s">
        <v>282</v>
      </c>
      <c r="D44" s="310"/>
      <c r="E44" s="310"/>
      <c r="F44" s="310"/>
      <c r="G44" s="310"/>
      <c r="H44" s="310"/>
      <c r="I44" s="310"/>
      <c r="J44" s="310"/>
      <c r="K44" s="310"/>
      <c r="L44" s="310"/>
      <c r="M44" s="310"/>
      <c r="N44" s="310"/>
      <c r="O44" s="310"/>
      <c r="P44" s="310"/>
      <c r="Q44" s="311"/>
    </row>
    <row r="45" spans="2:17" ht="14.25" customHeight="1" x14ac:dyDescent="0.25">
      <c r="B45" s="222" t="s">
        <v>31</v>
      </c>
      <c r="C45" s="310" t="s">
        <v>45</v>
      </c>
      <c r="D45" s="310"/>
      <c r="E45" s="310"/>
      <c r="F45" s="310"/>
      <c r="G45" s="310"/>
      <c r="H45" s="310"/>
      <c r="I45" s="310"/>
      <c r="J45" s="310"/>
      <c r="K45" s="310"/>
      <c r="L45" s="310"/>
      <c r="M45" s="310"/>
      <c r="N45" s="310"/>
      <c r="O45" s="310"/>
      <c r="P45" s="310"/>
      <c r="Q45" s="311"/>
    </row>
    <row r="46" spans="2:17" ht="14.25" customHeight="1" x14ac:dyDescent="0.25">
      <c r="B46" s="222" t="s">
        <v>32</v>
      </c>
      <c r="C46" s="310" t="s">
        <v>283</v>
      </c>
      <c r="D46" s="310"/>
      <c r="E46" s="310"/>
      <c r="F46" s="310"/>
      <c r="G46" s="310"/>
      <c r="H46" s="310"/>
      <c r="I46" s="310"/>
      <c r="J46" s="310"/>
      <c r="K46" s="310"/>
      <c r="L46" s="310"/>
      <c r="M46" s="310"/>
      <c r="N46" s="310"/>
      <c r="O46" s="310"/>
      <c r="P46" s="310"/>
      <c r="Q46" s="311"/>
    </row>
    <row r="47" spans="2:17" ht="14.25" customHeight="1" x14ac:dyDescent="0.25">
      <c r="B47" s="222" t="s">
        <v>33</v>
      </c>
      <c r="C47" s="310" t="s">
        <v>46</v>
      </c>
      <c r="D47" s="310"/>
      <c r="E47" s="310"/>
      <c r="F47" s="310"/>
      <c r="G47" s="310"/>
      <c r="H47" s="310"/>
      <c r="I47" s="310"/>
      <c r="J47" s="310"/>
      <c r="K47" s="310"/>
      <c r="L47" s="310"/>
      <c r="M47" s="310"/>
      <c r="N47" s="310"/>
      <c r="O47" s="310"/>
      <c r="P47" s="310"/>
      <c r="Q47" s="311"/>
    </row>
    <row r="48" spans="2:17" ht="14.25" customHeight="1" x14ac:dyDescent="0.25">
      <c r="B48" s="222" t="s">
        <v>34</v>
      </c>
      <c r="C48" s="310" t="s">
        <v>47</v>
      </c>
      <c r="D48" s="310"/>
      <c r="E48" s="310"/>
      <c r="F48" s="310"/>
      <c r="G48" s="310"/>
      <c r="H48" s="310"/>
      <c r="I48" s="310"/>
      <c r="J48" s="310"/>
      <c r="K48" s="310"/>
      <c r="L48" s="310"/>
      <c r="M48" s="310"/>
      <c r="N48" s="310"/>
      <c r="O48" s="310"/>
      <c r="P48" s="310"/>
      <c r="Q48" s="311"/>
    </row>
    <row r="49" spans="2:17" ht="14.25" customHeight="1" x14ac:dyDescent="0.25">
      <c r="B49" s="222" t="s">
        <v>35</v>
      </c>
      <c r="C49" s="310" t="s">
        <v>48</v>
      </c>
      <c r="D49" s="310"/>
      <c r="E49" s="310"/>
      <c r="F49" s="310"/>
      <c r="G49" s="310"/>
      <c r="H49" s="310"/>
      <c r="I49" s="310"/>
      <c r="J49" s="310"/>
      <c r="K49" s="310"/>
      <c r="L49" s="310"/>
      <c r="M49" s="310"/>
      <c r="N49" s="310"/>
      <c r="O49" s="310"/>
      <c r="P49" s="310"/>
      <c r="Q49" s="311"/>
    </row>
    <row r="50" spans="2:17" ht="14.25" customHeight="1" x14ac:dyDescent="0.25">
      <c r="B50" s="222" t="s">
        <v>36</v>
      </c>
      <c r="C50" s="310" t="s">
        <v>49</v>
      </c>
      <c r="D50" s="310"/>
      <c r="E50" s="310"/>
      <c r="F50" s="310"/>
      <c r="G50" s="310"/>
      <c r="H50" s="310"/>
      <c r="I50" s="310"/>
      <c r="J50" s="310"/>
      <c r="K50" s="310"/>
      <c r="L50" s="310"/>
      <c r="M50" s="310"/>
      <c r="N50" s="310"/>
      <c r="O50" s="310"/>
      <c r="P50" s="310"/>
      <c r="Q50" s="311"/>
    </row>
    <row r="51" spans="2:17" ht="14.25" customHeight="1" x14ac:dyDescent="0.25">
      <c r="B51" s="222" t="s">
        <v>61</v>
      </c>
      <c r="C51" s="310" t="s">
        <v>68</v>
      </c>
      <c r="D51" s="310"/>
      <c r="E51" s="310"/>
      <c r="F51" s="310"/>
      <c r="G51" s="310"/>
      <c r="H51" s="310"/>
      <c r="I51" s="310"/>
      <c r="J51" s="310"/>
      <c r="K51" s="310"/>
      <c r="L51" s="310"/>
      <c r="M51" s="310"/>
      <c r="N51" s="310"/>
      <c r="O51" s="310"/>
      <c r="P51" s="310"/>
      <c r="Q51" s="311"/>
    </row>
    <row r="52" spans="2:17" ht="14.25" customHeight="1" x14ac:dyDescent="0.25">
      <c r="B52" s="222" t="s">
        <v>62</v>
      </c>
      <c r="C52" s="310" t="s">
        <v>69</v>
      </c>
      <c r="D52" s="310"/>
      <c r="E52" s="310"/>
      <c r="F52" s="310"/>
      <c r="G52" s="310"/>
      <c r="H52" s="310"/>
      <c r="I52" s="310"/>
      <c r="J52" s="310"/>
      <c r="K52" s="310"/>
      <c r="L52" s="310"/>
      <c r="M52" s="310"/>
      <c r="N52" s="310"/>
      <c r="O52" s="310"/>
      <c r="P52" s="310"/>
      <c r="Q52" s="311"/>
    </row>
    <row r="53" spans="2:17" ht="14.25" customHeight="1" x14ac:dyDescent="0.25">
      <c r="B53" s="222" t="s">
        <v>37</v>
      </c>
      <c r="C53" s="310" t="s">
        <v>50</v>
      </c>
      <c r="D53" s="310"/>
      <c r="E53" s="310"/>
      <c r="F53" s="310"/>
      <c r="G53" s="310"/>
      <c r="H53" s="310"/>
      <c r="I53" s="310"/>
      <c r="J53" s="310"/>
      <c r="K53" s="310"/>
      <c r="L53" s="310"/>
      <c r="M53" s="310"/>
      <c r="N53" s="310"/>
      <c r="O53" s="310"/>
      <c r="P53" s="310"/>
      <c r="Q53" s="311"/>
    </row>
    <row r="54" spans="2:17" ht="14.25" customHeight="1" x14ac:dyDescent="0.25">
      <c r="B54" s="222" t="s">
        <v>38</v>
      </c>
      <c r="C54" s="310" t="s">
        <v>51</v>
      </c>
      <c r="D54" s="310"/>
      <c r="E54" s="310"/>
      <c r="F54" s="310"/>
      <c r="G54" s="310"/>
      <c r="H54" s="310"/>
      <c r="I54" s="310"/>
      <c r="J54" s="310"/>
      <c r="K54" s="310"/>
      <c r="L54" s="310"/>
      <c r="M54" s="310"/>
      <c r="N54" s="310"/>
      <c r="O54" s="310"/>
      <c r="P54" s="310"/>
      <c r="Q54" s="311"/>
    </row>
    <row r="55" spans="2:17" ht="14.25" customHeight="1" x14ac:dyDescent="0.25">
      <c r="B55" s="222" t="s">
        <v>63</v>
      </c>
      <c r="C55" s="310" t="s">
        <v>70</v>
      </c>
      <c r="D55" s="310"/>
      <c r="E55" s="310"/>
      <c r="F55" s="310"/>
      <c r="G55" s="310"/>
      <c r="H55" s="310"/>
      <c r="I55" s="310"/>
      <c r="J55" s="310"/>
      <c r="K55" s="310"/>
      <c r="L55" s="310"/>
      <c r="M55" s="310"/>
      <c r="N55" s="310"/>
      <c r="O55" s="310"/>
      <c r="P55" s="310"/>
      <c r="Q55" s="311"/>
    </row>
    <row r="56" spans="2:17" ht="14.25" customHeight="1" x14ac:dyDescent="0.25">
      <c r="B56" s="222" t="s">
        <v>64</v>
      </c>
      <c r="C56" s="310" t="s">
        <v>71</v>
      </c>
      <c r="D56" s="310"/>
      <c r="E56" s="310"/>
      <c r="F56" s="310"/>
      <c r="G56" s="310"/>
      <c r="H56" s="310"/>
      <c r="I56" s="310"/>
      <c r="J56" s="310"/>
      <c r="K56" s="310"/>
      <c r="L56" s="310"/>
      <c r="M56" s="310"/>
      <c r="N56" s="310"/>
      <c r="O56" s="310"/>
      <c r="P56" s="310"/>
      <c r="Q56" s="311"/>
    </row>
    <row r="57" spans="2:17" ht="14.25" customHeight="1" x14ac:dyDescent="0.25">
      <c r="B57" s="222" t="s">
        <v>39</v>
      </c>
      <c r="C57" s="310" t="s">
        <v>52</v>
      </c>
      <c r="D57" s="310"/>
      <c r="E57" s="310"/>
      <c r="F57" s="310"/>
      <c r="G57" s="310"/>
      <c r="H57" s="310"/>
      <c r="I57" s="310"/>
      <c r="J57" s="310"/>
      <c r="K57" s="310"/>
      <c r="L57" s="310"/>
      <c r="M57" s="310"/>
      <c r="N57" s="310"/>
      <c r="O57" s="310"/>
      <c r="P57" s="310"/>
      <c r="Q57" s="311"/>
    </row>
    <row r="58" spans="2:17" x14ac:dyDescent="0.25">
      <c r="B58" s="250" t="s">
        <v>40</v>
      </c>
      <c r="C58" s="231" t="s">
        <v>53</v>
      </c>
      <c r="D58" s="231"/>
      <c r="E58" s="231"/>
      <c r="F58" s="231"/>
      <c r="G58" s="231"/>
      <c r="H58" s="231"/>
      <c r="I58" s="231"/>
      <c r="J58" s="231"/>
      <c r="K58" s="231"/>
      <c r="L58" s="231"/>
      <c r="M58" s="231"/>
      <c r="N58" s="231"/>
      <c r="O58" s="231"/>
      <c r="P58" s="231"/>
      <c r="Q58" s="232"/>
    </row>
    <row r="60" spans="2:17" x14ac:dyDescent="0.25">
      <c r="B60" s="3" t="s">
        <v>54</v>
      </c>
    </row>
    <row r="61" spans="2:17" x14ac:dyDescent="0.25">
      <c r="B61" s="223" t="s">
        <v>55</v>
      </c>
    </row>
    <row r="62" spans="2:17" x14ac:dyDescent="0.25">
      <c r="B62" s="223" t="s">
        <v>56</v>
      </c>
    </row>
    <row r="68" spans="2:2" x14ac:dyDescent="0.25">
      <c r="B68" s="309" t="s">
        <v>346</v>
      </c>
    </row>
  </sheetData>
  <sheetProtection sheet="1" objects="1" scenarios="1"/>
  <mergeCells count="25">
    <mergeCell ref="B7:M23"/>
    <mergeCell ref="C48:Q48"/>
    <mergeCell ref="C56:Q56"/>
    <mergeCell ref="C50:Q50"/>
    <mergeCell ref="C51:Q51"/>
    <mergeCell ref="C49:Q49"/>
    <mergeCell ref="C52:Q52"/>
    <mergeCell ref="C53:Q53"/>
    <mergeCell ref="C54:Q54"/>
    <mergeCell ref="C55:Q55"/>
    <mergeCell ref="B28:M31"/>
    <mergeCell ref="C57:Q57"/>
    <mergeCell ref="C35:Q35"/>
    <mergeCell ref="C36:Q36"/>
    <mergeCell ref="C37:Q37"/>
    <mergeCell ref="C38:Q38"/>
    <mergeCell ref="C39:Q39"/>
    <mergeCell ref="C40:Q40"/>
    <mergeCell ref="C41:Q41"/>
    <mergeCell ref="C42:Q42"/>
    <mergeCell ref="C43:Q43"/>
    <mergeCell ref="C44:Q44"/>
    <mergeCell ref="C45:Q45"/>
    <mergeCell ref="C46:Q46"/>
    <mergeCell ref="C47:Q47"/>
  </mergeCells>
  <hyperlinks>
    <hyperlink ref="B35" location="'Canllawiau ar Newidynnau'!A1" display="Canllawiau ar Newidynnau"/>
    <hyperlink ref="B40" location="'Workings - Wales'!A1" display="Workings - Wales"/>
    <hyperlink ref="B41" location="'Workings - North Wales'!A1" display="Workings - North Wales"/>
    <hyperlink ref="B42" location="'Workings - Mid and SW Wales'!A1" display="Workings - Mid and SW Wales"/>
    <hyperlink ref="B46" location="'Future Forecasts'!A1" display="Future Forecasts"/>
    <hyperlink ref="B48" location="'Existing Unmet Need'!A1" display="Existing Unmet Need"/>
    <hyperlink ref="B49" location="'Income (Wales)'!A1" display="Income (Wales)"/>
    <hyperlink ref="B50" location="'Income (North Wales)'!A1" display="Income (North Wales)"/>
    <hyperlink ref="B51" location="'Income (Mid and SW Wales)'!A1" display="Income (Mid and SW Wales)"/>
    <hyperlink ref="B52" location="'Income (SE Wales)'!A1" display="Income (SE Wales)"/>
    <hyperlink ref="B53" location="'House Prices (Wales)'!A1" display="House Prices (Wales)"/>
    <hyperlink ref="B54" location="'House Prices (North Wales)'!A1" display="House Price (North Wales)"/>
    <hyperlink ref="B55" location="'House Prices (Mid and SW Wales)'!A1" display="House Prices (Mid and SW Wales)"/>
    <hyperlink ref="B56" location="'House Prices (SE Wales)'!A1" display="House Prices (SE Wales)"/>
    <hyperlink ref="B57" location="'Newly Arising Need'!A1" display="Newly Arising Need"/>
    <hyperlink ref="B36" location="'Rhaniad y Ddeiliadaeth (Cymru)'!A1" display="Rhaniad y Ddeiliadaeth (Cymru)"/>
    <hyperlink ref="B43" location="'Workings - Wales'!A1" display="Workings - Wales"/>
    <hyperlink ref="B44" location="'Household Projections'!A1" display="Household Projections"/>
    <hyperlink ref="B45" location="'Yearly Assumptions'!A1" display="Yearly Assumptions"/>
    <hyperlink ref="B47" location="'Rental Prices'!A1" display="Rental Prices"/>
    <hyperlink ref="B62" r:id="rId1"/>
    <hyperlink ref="B58" location="'Map Rhanbarthol'!A1" display="Map Rhanbarthol"/>
    <hyperlink ref="B61" r:id="rId2"/>
    <hyperlink ref="B68" r:id="rId3" display="http://www.nationalarchives.gov.uk/doc/open-government-licence/version/3/"/>
    <hyperlink ref="C4" r:id="rId4"/>
  </hyperlinks>
  <pageMargins left="0.7" right="0.7" top="0.75" bottom="0.75" header="0.3" footer="0.3"/>
  <pageSetup paperSize="9" scale="51" orientation="landscape" horizontalDpi="300" verticalDpi="300"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G30"/>
  <sheetViews>
    <sheetView showGridLines="0" zoomScale="70" zoomScaleNormal="70" workbookViewId="0"/>
  </sheetViews>
  <sheetFormatPr defaultRowHeight="15" x14ac:dyDescent="0.25"/>
  <cols>
    <col min="1" max="1" width="2" customWidth="1"/>
    <col min="2" max="2" width="32.85546875" customWidth="1"/>
    <col min="3" max="3" width="41.5703125" customWidth="1"/>
    <col min="4" max="4" width="74.140625" customWidth="1"/>
    <col min="5" max="5" width="62.28515625" customWidth="1"/>
    <col min="6" max="6" width="58.5703125" style="248" customWidth="1"/>
    <col min="7" max="7" width="48.85546875" customWidth="1"/>
  </cols>
  <sheetData>
    <row r="1" spans="2:7" s="1" customFormat="1" ht="23.25" x14ac:dyDescent="0.35">
      <c r="B1" s="176" t="s">
        <v>113</v>
      </c>
      <c r="F1" s="248"/>
    </row>
    <row r="2" spans="2:7" s="1" customFormat="1" x14ac:dyDescent="0.25">
      <c r="B2" s="337" t="s">
        <v>72</v>
      </c>
      <c r="C2" s="338"/>
      <c r="F2" s="248"/>
    </row>
    <row r="3" spans="2:7" x14ac:dyDescent="0.25">
      <c r="B3" s="339"/>
      <c r="C3" s="340"/>
    </row>
    <row r="6" spans="2:7" ht="18.75" x14ac:dyDescent="0.3">
      <c r="B6" s="3"/>
      <c r="C6" s="195" t="s">
        <v>74</v>
      </c>
      <c r="D6" s="196" t="s">
        <v>75</v>
      </c>
      <c r="E6" s="196" t="s">
        <v>76</v>
      </c>
      <c r="F6" s="249" t="s">
        <v>77</v>
      </c>
      <c r="G6" s="249" t="s">
        <v>308</v>
      </c>
    </row>
    <row r="7" spans="2:7" s="188" customFormat="1" ht="18.75" customHeight="1" x14ac:dyDescent="0.25">
      <c r="B7" s="334" t="s">
        <v>73</v>
      </c>
      <c r="C7" s="341" t="s">
        <v>78</v>
      </c>
      <c r="D7" s="342"/>
      <c r="E7" s="342"/>
      <c r="F7" s="342"/>
      <c r="G7" s="343"/>
    </row>
    <row r="8" spans="2:7" s="188" customFormat="1" ht="165" x14ac:dyDescent="0.25">
      <c r="B8" s="335"/>
      <c r="C8" s="267" t="s">
        <v>30</v>
      </c>
      <c r="D8" s="254" t="s">
        <v>326</v>
      </c>
      <c r="E8" s="190" t="s">
        <v>92</v>
      </c>
      <c r="F8" s="301" t="s">
        <v>102</v>
      </c>
      <c r="G8" s="307" t="s">
        <v>309</v>
      </c>
    </row>
    <row r="9" spans="2:7" s="188" customFormat="1" ht="90" x14ac:dyDescent="0.25">
      <c r="B9" s="335"/>
      <c r="C9" s="189" t="s">
        <v>34</v>
      </c>
      <c r="D9" s="190" t="s">
        <v>327</v>
      </c>
      <c r="E9" s="190" t="s">
        <v>93</v>
      </c>
      <c r="F9" s="302" t="s">
        <v>105</v>
      </c>
      <c r="G9" s="308" t="s">
        <v>310</v>
      </c>
    </row>
    <row r="10" spans="2:7" s="188" customFormat="1" ht="90" customHeight="1" x14ac:dyDescent="0.25">
      <c r="B10" s="335"/>
      <c r="C10" s="189" t="s">
        <v>79</v>
      </c>
      <c r="D10" s="254" t="s">
        <v>328</v>
      </c>
      <c r="E10" s="190" t="s">
        <v>94</v>
      </c>
      <c r="F10" s="192"/>
      <c r="G10" s="308"/>
    </row>
    <row r="11" spans="2:7" s="188" customFormat="1" ht="75" x14ac:dyDescent="0.25">
      <c r="B11" s="335"/>
      <c r="C11" s="189" t="s">
        <v>80</v>
      </c>
      <c r="D11" s="254" t="s">
        <v>329</v>
      </c>
      <c r="E11" s="190" t="s">
        <v>95</v>
      </c>
      <c r="F11" s="301" t="s">
        <v>103</v>
      </c>
      <c r="G11" s="308" t="s">
        <v>311</v>
      </c>
    </row>
    <row r="12" spans="2:7" s="188" customFormat="1" ht="18.75" x14ac:dyDescent="0.25">
      <c r="B12" s="335"/>
      <c r="C12" s="341" t="s">
        <v>125</v>
      </c>
      <c r="D12" s="342"/>
      <c r="E12" s="342"/>
      <c r="F12" s="342"/>
      <c r="G12" s="344"/>
    </row>
    <row r="13" spans="2:7" s="188" customFormat="1" ht="120" x14ac:dyDescent="0.25">
      <c r="B13" s="335"/>
      <c r="C13" s="189" t="s">
        <v>81</v>
      </c>
      <c r="D13" s="254" t="s">
        <v>330</v>
      </c>
      <c r="E13" s="192" t="s">
        <v>306</v>
      </c>
      <c r="F13" s="192"/>
      <c r="G13" s="308"/>
    </row>
    <row r="14" spans="2:7" s="188" customFormat="1" ht="60" x14ac:dyDescent="0.25">
      <c r="B14" s="335"/>
      <c r="C14" s="189" t="s">
        <v>82</v>
      </c>
      <c r="D14" s="254" t="s">
        <v>262</v>
      </c>
      <c r="E14" s="192" t="s">
        <v>96</v>
      </c>
      <c r="F14" s="301" t="s">
        <v>104</v>
      </c>
      <c r="G14" s="308"/>
    </row>
    <row r="15" spans="2:7" s="188" customFormat="1" ht="18.75" x14ac:dyDescent="0.25">
      <c r="B15" s="335"/>
      <c r="C15" s="341" t="s">
        <v>114</v>
      </c>
      <c r="D15" s="342"/>
      <c r="E15" s="342"/>
      <c r="F15" s="342"/>
      <c r="G15" s="344"/>
    </row>
    <row r="16" spans="2:7" s="188" customFormat="1" ht="75.75" customHeight="1" x14ac:dyDescent="0.25">
      <c r="B16" s="335"/>
      <c r="C16" s="189" t="s">
        <v>83</v>
      </c>
      <c r="D16" s="251" t="s">
        <v>106</v>
      </c>
      <c r="E16" s="254" t="s">
        <v>331</v>
      </c>
      <c r="F16" s="303" t="s">
        <v>11</v>
      </c>
      <c r="G16" s="308" t="s">
        <v>312</v>
      </c>
    </row>
    <row r="17" spans="2:7" s="188" customFormat="1" ht="74.25" customHeight="1" x14ac:dyDescent="0.25">
      <c r="B17" s="335"/>
      <c r="C17" s="189" t="s">
        <v>84</v>
      </c>
      <c r="D17" s="251" t="s">
        <v>107</v>
      </c>
      <c r="E17" s="254" t="s">
        <v>332</v>
      </c>
      <c r="F17" s="192"/>
      <c r="G17" s="308"/>
    </row>
    <row r="18" spans="2:7" s="188" customFormat="1" ht="105" x14ac:dyDescent="0.25">
      <c r="B18" s="335"/>
      <c r="C18" s="189" t="s">
        <v>85</v>
      </c>
      <c r="D18" s="251" t="s">
        <v>108</v>
      </c>
      <c r="E18" s="254" t="s">
        <v>333</v>
      </c>
      <c r="F18" s="303" t="s">
        <v>5</v>
      </c>
      <c r="G18" s="308" t="s">
        <v>312</v>
      </c>
    </row>
    <row r="19" spans="2:7" s="188" customFormat="1" ht="18.75" x14ac:dyDescent="0.25">
      <c r="B19" s="334" t="s">
        <v>109</v>
      </c>
      <c r="C19" s="341" t="s">
        <v>323</v>
      </c>
      <c r="D19" s="342"/>
      <c r="E19" s="342"/>
      <c r="F19" s="342"/>
      <c r="G19" s="344"/>
    </row>
    <row r="20" spans="2:7" s="188" customFormat="1" ht="30" x14ac:dyDescent="0.25">
      <c r="B20" s="335"/>
      <c r="C20" s="189" t="s">
        <v>86</v>
      </c>
      <c r="D20" s="254" t="s">
        <v>280</v>
      </c>
      <c r="E20" s="192" t="s">
        <v>97</v>
      </c>
      <c r="F20" s="302" t="s">
        <v>7</v>
      </c>
      <c r="G20" s="304" t="s">
        <v>313</v>
      </c>
    </row>
    <row r="21" spans="2:7" s="188" customFormat="1" ht="18.75" x14ac:dyDescent="0.25">
      <c r="B21" s="335"/>
      <c r="C21" s="341" t="s">
        <v>324</v>
      </c>
      <c r="D21" s="342"/>
      <c r="E21" s="342"/>
      <c r="F21" s="342"/>
      <c r="G21" s="344"/>
    </row>
    <row r="22" spans="2:7" s="188" customFormat="1" ht="45" x14ac:dyDescent="0.25">
      <c r="B22" s="335"/>
      <c r="C22" s="305" t="s">
        <v>88</v>
      </c>
      <c r="D22" s="254" t="s">
        <v>112</v>
      </c>
      <c r="E22" s="192" t="s">
        <v>98</v>
      </c>
      <c r="F22" s="302" t="s">
        <v>12</v>
      </c>
      <c r="G22" s="191"/>
    </row>
    <row r="23" spans="2:7" s="188" customFormat="1" ht="75" customHeight="1" x14ac:dyDescent="0.25">
      <c r="B23" s="335"/>
      <c r="C23" s="267" t="s">
        <v>89</v>
      </c>
      <c r="D23" s="254" t="s">
        <v>111</v>
      </c>
      <c r="E23" s="192" t="s">
        <v>99</v>
      </c>
      <c r="F23" s="192"/>
      <c r="G23" s="191"/>
    </row>
    <row r="24" spans="2:7" s="188" customFormat="1" ht="56.25" customHeight="1" x14ac:dyDescent="0.25">
      <c r="B24" s="335"/>
      <c r="C24" s="255" t="s">
        <v>87</v>
      </c>
      <c r="D24" s="254" t="s">
        <v>115</v>
      </c>
      <c r="E24" s="192" t="s">
        <v>100</v>
      </c>
      <c r="F24" s="192"/>
      <c r="G24" s="191" t="s">
        <v>314</v>
      </c>
    </row>
    <row r="25" spans="2:7" s="188" customFormat="1" ht="110.25" customHeight="1" x14ac:dyDescent="0.25">
      <c r="B25" s="335"/>
      <c r="C25" s="189" t="s">
        <v>90</v>
      </c>
      <c r="D25" s="254" t="s">
        <v>281</v>
      </c>
      <c r="E25" s="190" t="s">
        <v>307</v>
      </c>
      <c r="F25" s="192"/>
      <c r="G25" s="191"/>
    </row>
    <row r="26" spans="2:7" s="188" customFormat="1" ht="18.75" x14ac:dyDescent="0.25">
      <c r="B26" s="335"/>
      <c r="C26" s="341" t="s">
        <v>325</v>
      </c>
      <c r="D26" s="342"/>
      <c r="E26" s="342"/>
      <c r="F26" s="342"/>
      <c r="G26" s="344"/>
    </row>
    <row r="27" spans="2:7" s="188" customFormat="1" ht="60" x14ac:dyDescent="0.25">
      <c r="B27" s="336"/>
      <c r="C27" s="193" t="s">
        <v>91</v>
      </c>
      <c r="D27" s="252" t="s">
        <v>110</v>
      </c>
      <c r="E27" s="194" t="s">
        <v>101</v>
      </c>
      <c r="F27" s="306" t="s">
        <v>12</v>
      </c>
      <c r="G27" s="308" t="s">
        <v>312</v>
      </c>
    </row>
    <row r="30" spans="2:7" x14ac:dyDescent="0.25">
      <c r="E30" s="8"/>
    </row>
  </sheetData>
  <sheetProtection sheet="1" objects="1" scenarios="1"/>
  <mergeCells count="9">
    <mergeCell ref="B7:B18"/>
    <mergeCell ref="B19:B27"/>
    <mergeCell ref="B2:C3"/>
    <mergeCell ref="C7:G7"/>
    <mergeCell ref="C12:G12"/>
    <mergeCell ref="C15:G15"/>
    <mergeCell ref="C19:G19"/>
    <mergeCell ref="C21:G21"/>
    <mergeCell ref="C26:G26"/>
  </mergeCells>
  <hyperlinks>
    <hyperlink ref="F18" r:id="rId1" display="https://obr.uk/download/march-2019-economic-and-fiscal-outlook-supplementary-economy-tables"/>
    <hyperlink ref="F16" r:id="rId2" display="https://obr.uk/download/march-2019-economic-and-fiscal-outlook-supplementary-economy-tables"/>
    <hyperlink ref="F9" r:id="rId3" display="https://cy.ons.gov.uk/peoplepopulationandcommunity/housing/adhocs/008905ct08512011census?:uri=peoplepopulationandcommunity/housing/adhocs/008905ct08512011census"/>
    <hyperlink ref="F20" r:id="rId4"/>
    <hyperlink ref="F22" r:id="rId5"/>
    <hyperlink ref="F27" r:id="rId6"/>
  </hyperlinks>
  <pageMargins left="0.7" right="0.7" top="0.75" bottom="0.75" header="0.3" footer="0.3"/>
  <pageSetup paperSize="9" scale="37" orientation="landscape" horizontalDpi="300" verticalDpi="300" r:id="rId7"/>
  <drawing r:id="rId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M22"/>
  <sheetViews>
    <sheetView showGridLines="0" zoomScale="90" zoomScaleNormal="90" workbookViewId="0"/>
  </sheetViews>
  <sheetFormatPr defaultRowHeight="15" x14ac:dyDescent="0.25"/>
  <cols>
    <col min="1" max="1" width="3.140625" style="1" customWidth="1"/>
    <col min="2" max="16384" width="9.140625" style="1"/>
  </cols>
  <sheetData>
    <row r="2" spans="2:13" ht="15" customHeight="1" x14ac:dyDescent="0.25">
      <c r="B2" s="346" t="s">
        <v>271</v>
      </c>
      <c r="C2" s="347"/>
      <c r="D2" s="347"/>
      <c r="E2" s="347"/>
      <c r="F2" s="347"/>
      <c r="G2" s="347"/>
      <c r="H2" s="347"/>
      <c r="I2" s="347"/>
      <c r="J2" s="347"/>
      <c r="K2" s="347"/>
      <c r="L2" s="347"/>
      <c r="M2" s="348"/>
    </row>
    <row r="3" spans="2:13" x14ac:dyDescent="0.25">
      <c r="B3" s="349"/>
      <c r="C3" s="350"/>
      <c r="D3" s="350"/>
      <c r="E3" s="350"/>
      <c r="F3" s="350"/>
      <c r="G3" s="350"/>
      <c r="H3" s="350"/>
      <c r="I3" s="350"/>
      <c r="J3" s="350"/>
      <c r="K3" s="350"/>
      <c r="L3" s="350"/>
      <c r="M3" s="351"/>
    </row>
    <row r="5" spans="2:13" x14ac:dyDescent="0.25">
      <c r="B5" s="269" t="s">
        <v>270</v>
      </c>
      <c r="C5" s="270"/>
      <c r="D5" s="270"/>
      <c r="E5" s="270"/>
      <c r="F5" s="270"/>
      <c r="G5" s="270"/>
      <c r="H5" s="270"/>
      <c r="I5" s="270"/>
      <c r="J5" s="270"/>
      <c r="K5" s="270"/>
      <c r="L5" s="270"/>
    </row>
    <row r="6" spans="2:13" x14ac:dyDescent="0.25">
      <c r="B6" s="270"/>
      <c r="C6" s="270"/>
      <c r="D6" s="270"/>
      <c r="E6" s="270"/>
      <c r="F6" s="270"/>
      <c r="G6" s="270"/>
      <c r="H6" s="270"/>
      <c r="I6" s="270"/>
      <c r="J6" s="270"/>
      <c r="K6" s="270"/>
      <c r="L6" s="270"/>
    </row>
    <row r="7" spans="2:13" x14ac:dyDescent="0.25">
      <c r="B7" s="271" t="s">
        <v>286</v>
      </c>
      <c r="C7" s="270"/>
      <c r="D7" s="270"/>
      <c r="E7" s="270"/>
      <c r="F7" s="270"/>
      <c r="G7" s="270"/>
      <c r="H7" s="270"/>
      <c r="I7" s="270"/>
      <c r="J7" s="270"/>
      <c r="K7" s="270"/>
      <c r="L7" s="270"/>
    </row>
    <row r="8" spans="2:13" ht="42" customHeight="1" x14ac:dyDescent="0.25">
      <c r="B8" s="345" t="s">
        <v>275</v>
      </c>
      <c r="C8" s="352"/>
      <c r="D8" s="352"/>
      <c r="E8" s="352"/>
      <c r="F8" s="352"/>
      <c r="G8" s="352"/>
      <c r="H8" s="352"/>
      <c r="I8" s="352"/>
      <c r="J8" s="352"/>
      <c r="K8" s="352"/>
      <c r="L8" s="352"/>
      <c r="M8" s="352"/>
    </row>
    <row r="9" spans="2:13" x14ac:dyDescent="0.25">
      <c r="B9" s="271" t="s">
        <v>276</v>
      </c>
      <c r="C9" s="270"/>
      <c r="D9" s="270"/>
      <c r="E9" s="270"/>
      <c r="F9" s="270"/>
      <c r="G9" s="270"/>
      <c r="H9" s="270"/>
      <c r="I9" s="270"/>
      <c r="J9" s="270"/>
      <c r="K9" s="270"/>
      <c r="L9" s="270"/>
    </row>
    <row r="10" spans="2:13" ht="36" customHeight="1" x14ac:dyDescent="0.25">
      <c r="B10" s="345" t="s">
        <v>277</v>
      </c>
      <c r="C10" s="345"/>
      <c r="D10" s="345"/>
      <c r="E10" s="345"/>
      <c r="F10" s="345"/>
      <c r="G10" s="345"/>
      <c r="H10" s="345"/>
      <c r="I10" s="345"/>
      <c r="J10" s="345"/>
      <c r="K10" s="345"/>
      <c r="L10" s="345"/>
      <c r="M10" s="345"/>
    </row>
    <row r="11" spans="2:13" x14ac:dyDescent="0.25">
      <c r="B11" s="270"/>
      <c r="C11" s="270"/>
      <c r="D11" s="270"/>
      <c r="E11" s="270"/>
      <c r="F11" s="270"/>
      <c r="G11" s="270"/>
      <c r="H11" s="270"/>
      <c r="I11" s="270"/>
      <c r="J11" s="270"/>
      <c r="K11" s="270"/>
      <c r="L11" s="270"/>
    </row>
    <row r="12" spans="2:13" x14ac:dyDescent="0.25">
      <c r="B12" s="269" t="s">
        <v>272</v>
      </c>
      <c r="C12" s="270"/>
      <c r="D12" s="270"/>
      <c r="E12" s="270"/>
      <c r="F12" s="270"/>
      <c r="G12" s="270"/>
      <c r="H12" s="270"/>
      <c r="I12" s="270"/>
      <c r="J12" s="270"/>
      <c r="K12" s="270"/>
      <c r="L12" s="270"/>
    </row>
    <row r="13" spans="2:13" x14ac:dyDescent="0.25">
      <c r="B13" s="270"/>
      <c r="C13" s="270"/>
      <c r="D13" s="270"/>
      <c r="E13" s="270"/>
      <c r="F13" s="270"/>
      <c r="G13" s="270"/>
      <c r="H13" s="270"/>
      <c r="I13" s="270"/>
      <c r="J13" s="270"/>
      <c r="K13" s="270"/>
      <c r="L13" s="270"/>
    </row>
    <row r="14" spans="2:13" ht="48" customHeight="1" x14ac:dyDescent="0.25">
      <c r="B14" s="345" t="s">
        <v>284</v>
      </c>
      <c r="C14" s="345"/>
      <c r="D14" s="345"/>
      <c r="E14" s="345"/>
      <c r="F14" s="345"/>
      <c r="G14" s="345"/>
      <c r="H14" s="345"/>
      <c r="I14" s="345"/>
      <c r="J14" s="345"/>
      <c r="K14" s="345"/>
      <c r="L14" s="345"/>
      <c r="M14" s="345"/>
    </row>
    <row r="15" spans="2:13" ht="45.75" customHeight="1" x14ac:dyDescent="0.25">
      <c r="B15" s="345" t="s">
        <v>278</v>
      </c>
      <c r="C15" s="345"/>
      <c r="D15" s="345"/>
      <c r="E15" s="345"/>
      <c r="F15" s="345"/>
      <c r="G15" s="345"/>
      <c r="H15" s="345"/>
      <c r="I15" s="345"/>
      <c r="J15" s="345"/>
      <c r="K15" s="345"/>
      <c r="L15" s="345"/>
      <c r="M15" s="345"/>
    </row>
    <row r="16" spans="2:13" ht="44.25" customHeight="1" x14ac:dyDescent="0.25">
      <c r="B16" s="345" t="s">
        <v>273</v>
      </c>
      <c r="C16" s="345"/>
      <c r="D16" s="345"/>
      <c r="E16" s="345"/>
      <c r="F16" s="345"/>
      <c r="G16" s="345"/>
      <c r="H16" s="345"/>
      <c r="I16" s="345"/>
      <c r="J16" s="345"/>
      <c r="K16" s="345"/>
      <c r="L16" s="345"/>
      <c r="M16" s="345"/>
    </row>
    <row r="17" spans="2:13" ht="60.75" customHeight="1" x14ac:dyDescent="0.25">
      <c r="B17" s="345" t="s">
        <v>285</v>
      </c>
      <c r="C17" s="345"/>
      <c r="D17" s="345"/>
      <c r="E17" s="345"/>
      <c r="F17" s="345"/>
      <c r="G17" s="345"/>
      <c r="H17" s="345"/>
      <c r="I17" s="345"/>
      <c r="J17" s="345"/>
      <c r="K17" s="345"/>
      <c r="L17" s="345"/>
      <c r="M17" s="345"/>
    </row>
    <row r="18" spans="2:13" x14ac:dyDescent="0.25">
      <c r="B18" s="270"/>
      <c r="C18" s="270"/>
      <c r="D18" s="270"/>
      <c r="E18" s="270"/>
      <c r="F18" s="270"/>
      <c r="G18" s="270"/>
      <c r="H18" s="270"/>
      <c r="I18" s="270"/>
      <c r="J18" s="270"/>
      <c r="K18" s="270"/>
      <c r="L18" s="270"/>
    </row>
    <row r="19" spans="2:13" x14ac:dyDescent="0.25">
      <c r="B19" s="269" t="s">
        <v>279</v>
      </c>
      <c r="C19" s="270"/>
      <c r="D19" s="270"/>
      <c r="E19" s="270"/>
      <c r="F19" s="270"/>
      <c r="G19" s="270"/>
      <c r="H19" s="270"/>
      <c r="I19" s="270"/>
      <c r="J19" s="270"/>
      <c r="K19" s="270"/>
      <c r="L19" s="270"/>
    </row>
    <row r="20" spans="2:13" x14ac:dyDescent="0.25">
      <c r="B20" s="270"/>
      <c r="C20" s="270"/>
      <c r="D20" s="270"/>
      <c r="E20" s="270"/>
      <c r="F20" s="270"/>
      <c r="G20" s="270"/>
      <c r="H20" s="270"/>
      <c r="I20" s="270"/>
      <c r="J20" s="270"/>
      <c r="K20" s="270"/>
      <c r="L20" s="270"/>
    </row>
    <row r="21" spans="2:13" ht="34.5" customHeight="1" x14ac:dyDescent="0.25">
      <c r="B21" s="345" t="s">
        <v>274</v>
      </c>
      <c r="C21" s="345"/>
      <c r="D21" s="345"/>
      <c r="E21" s="345"/>
      <c r="F21" s="345"/>
      <c r="G21" s="345"/>
      <c r="H21" s="345"/>
      <c r="I21" s="345"/>
      <c r="J21" s="345"/>
      <c r="K21" s="345"/>
      <c r="L21" s="345"/>
      <c r="M21" s="345"/>
    </row>
    <row r="22" spans="2:13" x14ac:dyDescent="0.25">
      <c r="B22" s="270"/>
      <c r="C22" s="270"/>
      <c r="D22" s="270"/>
      <c r="E22" s="270"/>
      <c r="F22" s="270"/>
      <c r="G22" s="270"/>
      <c r="H22" s="270"/>
      <c r="I22" s="270"/>
      <c r="J22" s="270"/>
      <c r="K22" s="270"/>
      <c r="L22" s="270"/>
    </row>
  </sheetData>
  <sheetProtection sheet="1" objects="1" scenarios="1"/>
  <mergeCells count="8">
    <mergeCell ref="B17:M17"/>
    <mergeCell ref="B21:M21"/>
    <mergeCell ref="B2:M3"/>
    <mergeCell ref="B8:M8"/>
    <mergeCell ref="B10:M10"/>
    <mergeCell ref="B14:M14"/>
    <mergeCell ref="B15:M15"/>
    <mergeCell ref="B16:M16"/>
  </mergeCells>
  <pageMargins left="0.7" right="0.7" top="0.75" bottom="0.75" header="0.3" footer="0.3"/>
  <pageSetup paperSize="9"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pageSetUpPr fitToPage="1"/>
  </sheetPr>
  <dimension ref="A1:X207"/>
  <sheetViews>
    <sheetView showGridLines="0" zoomScale="90" zoomScaleNormal="90" workbookViewId="0"/>
  </sheetViews>
  <sheetFormatPr defaultColWidth="9.140625" defaultRowHeight="12.75" x14ac:dyDescent="0.2"/>
  <cols>
    <col min="1" max="1" width="4.5703125" style="73" customWidth="1"/>
    <col min="2" max="2" width="18" style="73" customWidth="1"/>
    <col min="3" max="3" width="41.85546875" style="73" customWidth="1"/>
    <col min="4" max="4" width="25" style="73" customWidth="1"/>
    <col min="5" max="5" width="18.42578125" style="73" customWidth="1"/>
    <col min="6" max="6" width="15.5703125" style="73" customWidth="1"/>
    <col min="7" max="7" width="12.85546875" style="73" customWidth="1"/>
    <col min="8" max="8" width="13" style="73" customWidth="1"/>
    <col min="9" max="9" width="17.28515625" style="73" customWidth="1"/>
    <col min="10" max="14" width="13" style="73" customWidth="1"/>
    <col min="15" max="16384" width="9.140625" style="73"/>
  </cols>
  <sheetData>
    <row r="1" spans="1:11" ht="26.25" customHeight="1" x14ac:dyDescent="0.2">
      <c r="B1" s="368" t="s">
        <v>116</v>
      </c>
      <c r="C1" s="368"/>
      <c r="D1" s="153" t="s">
        <v>117</v>
      </c>
    </row>
    <row r="2" spans="1:11" ht="27" customHeight="1" x14ac:dyDescent="0.2">
      <c r="B2" s="102" t="s">
        <v>303</v>
      </c>
      <c r="C2" s="103"/>
      <c r="D2" s="103"/>
      <c r="E2" s="278"/>
    </row>
    <row r="4" spans="1:11" ht="30.75" customHeight="1" x14ac:dyDescent="0.25">
      <c r="C4" s="93" t="s">
        <v>74</v>
      </c>
      <c r="D4" s="100" t="s">
        <v>118</v>
      </c>
      <c r="E4" s="99" t="s">
        <v>233</v>
      </c>
      <c r="F4" s="362" t="s">
        <v>119</v>
      </c>
      <c r="G4" s="362"/>
      <c r="H4" s="362"/>
      <c r="I4" s="363"/>
      <c r="K4" s="70" t="s">
        <v>200</v>
      </c>
    </row>
    <row r="5" spans="1:11" ht="24.75" customHeight="1" x14ac:dyDescent="0.2">
      <c r="B5" s="354" t="s">
        <v>263</v>
      </c>
      <c r="C5" s="295" t="s">
        <v>78</v>
      </c>
      <c r="D5" s="273"/>
      <c r="E5" s="130"/>
      <c r="F5" s="375"/>
      <c r="G5" s="375"/>
      <c r="H5" s="375"/>
      <c r="I5" s="376"/>
    </row>
    <row r="6" spans="1:11" ht="30" customHeight="1" x14ac:dyDescent="0.2">
      <c r="A6" s="104"/>
      <c r="B6" s="355"/>
      <c r="C6" s="127" t="s">
        <v>133</v>
      </c>
      <c r="D6" s="287" t="s">
        <v>260</v>
      </c>
      <c r="E6" s="129" t="str">
        <f>IF(OR(F6=$B$195,F6=$B$196),"Y","N")</f>
        <v>Y</v>
      </c>
      <c r="F6" s="364" t="str">
        <f>IF(D6="",$B$194,IF(D6="Rhagdybiaethau'r defnyddiwr",IF('Amcanestyniadau o Aelwyd'!J26&lt;6,$B$197&amp;B198,$B$196),$B$195))</f>
        <v>Defnyddiwyd Data Wedi'i Ragosod</v>
      </c>
      <c r="G6" s="364"/>
      <c r="H6" s="364"/>
      <c r="I6" s="361"/>
    </row>
    <row r="7" spans="1:11" ht="15" customHeight="1" x14ac:dyDescent="0.2">
      <c r="A7" s="104"/>
      <c r="B7" s="355"/>
      <c r="C7" s="127" t="s">
        <v>126</v>
      </c>
      <c r="D7" s="287" t="s">
        <v>136</v>
      </c>
      <c r="E7" s="129" t="str">
        <f>IF(OR(F7=$B$195,F7=$B$196),"Y","N")</f>
        <v>Y</v>
      </c>
      <c r="F7" s="361" t="str">
        <f>IF(D7="",$B$194,IF(D7="Arall",IF(ISBLANK('Angen Presennol Nas Diwallwyd'!C21),$B$197&amp;B199,$B$196),$B$195))</f>
        <v>Defnyddiwyd Data Wedi'i Ragosod</v>
      </c>
      <c r="G7" s="361"/>
      <c r="H7" s="361"/>
      <c r="I7" s="361"/>
    </row>
    <row r="8" spans="1:11" ht="15" customHeight="1" x14ac:dyDescent="0.2">
      <c r="A8" s="104"/>
      <c r="B8" s="355"/>
      <c r="C8" s="127" t="s">
        <v>79</v>
      </c>
      <c r="D8" s="287" t="s">
        <v>136</v>
      </c>
      <c r="E8" s="129" t="str">
        <f>IF(OR(F8=$B$195,F8=$B$196),"Y","N")</f>
        <v>Y</v>
      </c>
      <c r="F8" s="361" t="str">
        <f>IF(D8="",$B$194,IF(D8="Arall",IF('Incwm (Cymru)'!N85=1,$B$197&amp;B200,$B$196),$B$195))</f>
        <v>Defnyddiwyd Data Wedi'i Ragosod</v>
      </c>
      <c r="G8" s="361"/>
      <c r="H8" s="361"/>
      <c r="I8" s="361"/>
    </row>
    <row r="9" spans="1:11" ht="15" customHeight="1" x14ac:dyDescent="0.2">
      <c r="A9" s="104"/>
      <c r="B9" s="355"/>
      <c r="C9" s="127" t="s">
        <v>80</v>
      </c>
      <c r="D9" s="287" t="s">
        <v>299</v>
      </c>
      <c r="E9" s="129" t="str">
        <f>IF(OR(F9=$B$195,F9=$B$196),"Y","N")</f>
        <v>Y</v>
      </c>
      <c r="F9" s="364" t="str">
        <f>IF(D9="",$B$194,IF(D9="Arall",IF(OR(ISBLANK('Prisiau Rhenti'!C10),ISBLANK('Prisiau Rhenti'!D10)),$B$197&amp;B202,$B$196),$B$195))</f>
        <v>Defnyddiwyd Data Wedi'i Ragosod</v>
      </c>
      <c r="G9" s="364"/>
      <c r="H9" s="364"/>
      <c r="I9" s="361"/>
    </row>
    <row r="10" spans="1:11" ht="24.75" customHeight="1" x14ac:dyDescent="0.2">
      <c r="A10" s="104"/>
      <c r="B10" s="355"/>
      <c r="C10" s="295" t="s">
        <v>124</v>
      </c>
      <c r="D10" s="273"/>
      <c r="E10" s="130"/>
      <c r="F10" s="273"/>
      <c r="G10" s="288"/>
      <c r="H10" s="273"/>
      <c r="I10" s="289"/>
    </row>
    <row r="11" spans="1:11" ht="13.5" customHeight="1" x14ac:dyDescent="0.2">
      <c r="A11" s="104"/>
      <c r="B11" s="355"/>
      <c r="C11" s="127" t="s">
        <v>81</v>
      </c>
      <c r="D11" s="290" t="s">
        <v>135</v>
      </c>
      <c r="E11" s="129" t="str">
        <f>IF(OR(F11=$B$195,F11=$B$196),"Y","N")</f>
        <v>Y</v>
      </c>
      <c r="F11" s="361" t="str">
        <f>IF(D11="",$B$194,IF(D11="Arall",IF(ISBLANK('Rhagdybiaeth Blynyddol'!D9),$B$197&amp;B203,$B$196),$B$195))</f>
        <v>Defnyddiwyd Data Wedi'i Ragosod</v>
      </c>
      <c r="G11" s="361"/>
      <c r="H11" s="361"/>
      <c r="I11" s="361"/>
    </row>
    <row r="12" spans="1:11" ht="15" customHeight="1" x14ac:dyDescent="0.2">
      <c r="A12" s="104"/>
      <c r="B12" s="355"/>
      <c r="C12" s="127" t="s">
        <v>128</v>
      </c>
      <c r="D12" s="290" t="s">
        <v>135</v>
      </c>
      <c r="E12" s="129" t="str">
        <f>IF(OR(F12=$B$195,F12=$B$196),"Y","N")</f>
        <v>Y</v>
      </c>
      <c r="F12" s="364" t="str">
        <f>IF(D12="",$B$194,IF(D12="Arall",IF(ISBLANK('Angen Presennol Nas Diwallwyd'!C24),$B$197&amp;B199,$B$196),$B$195))</f>
        <v>Defnyddiwyd Data Wedi'i Ragosod</v>
      </c>
      <c r="G12" s="364"/>
      <c r="H12" s="364"/>
      <c r="I12" s="361"/>
    </row>
    <row r="13" spans="1:11" ht="24.75" customHeight="1" x14ac:dyDescent="0.2">
      <c r="A13" s="104"/>
      <c r="B13" s="355"/>
      <c r="C13" s="295" t="s">
        <v>125</v>
      </c>
      <c r="D13" s="273"/>
      <c r="E13" s="130"/>
      <c r="F13" s="273"/>
      <c r="G13" s="288"/>
      <c r="H13" s="273"/>
      <c r="I13" s="289"/>
    </row>
    <row r="14" spans="1:11" ht="29.25" customHeight="1" x14ac:dyDescent="0.2">
      <c r="A14" s="104"/>
      <c r="B14" s="355"/>
      <c r="C14" s="296" t="s">
        <v>83</v>
      </c>
      <c r="D14" s="290" t="s">
        <v>135</v>
      </c>
      <c r="E14" s="129" t="str">
        <f>IF(OR(F14=$B$195,F14=$B$196),"Y","N")</f>
        <v>Y</v>
      </c>
      <c r="F14" s="364" t="str">
        <f>IF(D14="",$B$194,IF(D14="Arall",IF('Rhagolygon y Dyfodol'!I11&lt;5,$B$197&amp;B204,$B$196),$B$195))</f>
        <v>Defnyddiwyd Data Wedi'i Ragosod</v>
      </c>
      <c r="G14" s="364"/>
      <c r="H14" s="364"/>
      <c r="I14" s="361"/>
    </row>
    <row r="15" spans="1:11" ht="29.25" customHeight="1" x14ac:dyDescent="0.2">
      <c r="A15" s="104"/>
      <c r="B15" s="355"/>
      <c r="C15" s="296" t="s">
        <v>129</v>
      </c>
      <c r="D15" s="287" t="s">
        <v>300</v>
      </c>
      <c r="E15" s="129" t="str">
        <f>IF(OR(F15=$B$195,F15=$B$196),"Y","N")</f>
        <v>Y</v>
      </c>
      <c r="F15" s="361" t="str">
        <f>IF(D15="",$B$194,IF(D15="Arall",IF('Rhagolygon y Dyfodol'!I16&lt;5,$B$197&amp;B204,$B$196),$B$195))</f>
        <v>Defnyddiwyd Data Wedi'i Ragosod</v>
      </c>
      <c r="G15" s="361"/>
      <c r="H15" s="361"/>
      <c r="I15" s="361"/>
    </row>
    <row r="16" spans="1:11" ht="17.25" customHeight="1" x14ac:dyDescent="0.2">
      <c r="A16" s="104"/>
      <c r="B16" s="356"/>
      <c r="C16" s="297" t="s">
        <v>130</v>
      </c>
      <c r="D16" s="291" t="s">
        <v>135</v>
      </c>
      <c r="E16" s="137" t="str">
        <f>IF(OR(F16=$B$195,F16=$B$196),"Y","N")</f>
        <v>Y</v>
      </c>
      <c r="F16" s="371" t="str">
        <f>IF(D16="",$B$194,IF(D16="Arall",IF('Rhagolygon y Dyfodol'!I22&lt;5,$B$197&amp;B204,$B$196),$B$195))</f>
        <v>Defnyddiwyd Data Wedi'i Ragosod</v>
      </c>
      <c r="G16" s="371"/>
      <c r="H16" s="371"/>
      <c r="I16" s="371"/>
    </row>
    <row r="17" spans="1:11" ht="37.5" customHeight="1" x14ac:dyDescent="0.2">
      <c r="A17" s="104"/>
      <c r="B17" s="357" t="s">
        <v>264</v>
      </c>
      <c r="C17" s="105" t="s">
        <v>323</v>
      </c>
      <c r="D17" s="272"/>
      <c r="E17" s="121"/>
      <c r="F17" s="362"/>
      <c r="G17" s="362"/>
      <c r="H17" s="362"/>
      <c r="I17" s="363"/>
    </row>
    <row r="18" spans="1:11" ht="31.5" customHeight="1" x14ac:dyDescent="0.2">
      <c r="A18" s="104"/>
      <c r="B18" s="358"/>
      <c r="C18" s="95" t="s">
        <v>86</v>
      </c>
      <c r="D18" s="290" t="s">
        <v>301</v>
      </c>
      <c r="E18" s="119" t="str">
        <f>IF(OR(F18=$B$195,F18=$B$196),"Y","N")</f>
        <v>Y</v>
      </c>
      <c r="F18" s="367" t="str">
        <f>IF(D18="",$B$194,IF(D18="Arall",IF('Prisiau Tai (Cymru)'!N85=1,$B$197&amp;B201,$B$196),$B$195))</f>
        <v>Defnyddiwyd Data Wedi'i Ragosod</v>
      </c>
      <c r="G18" s="367"/>
      <c r="H18" s="367"/>
      <c r="I18" s="367"/>
    </row>
    <row r="19" spans="1:11" ht="24.75" customHeight="1" x14ac:dyDescent="0.2">
      <c r="A19" s="104"/>
      <c r="B19" s="358"/>
      <c r="C19" s="105" t="s">
        <v>324</v>
      </c>
      <c r="D19" s="272"/>
      <c r="E19" s="121"/>
      <c r="F19" s="272"/>
      <c r="G19" s="292"/>
      <c r="H19" s="272"/>
      <c r="I19" s="293"/>
    </row>
    <row r="20" spans="1:11" ht="13.5" customHeight="1" x14ac:dyDescent="0.2">
      <c r="A20" s="104"/>
      <c r="B20" s="358"/>
      <c r="C20" s="298" t="s">
        <v>88</v>
      </c>
      <c r="D20" s="290" t="s">
        <v>135</v>
      </c>
      <c r="E20" s="119" t="str">
        <f>IF(OR(F20=$B$195,F20=$B$196),"Y","N")</f>
        <v>Y</v>
      </c>
      <c r="F20" s="365" t="str">
        <f>IF(D20="",$B$194,IF(D20="Arall",IF(ISBLANK('Rhagdybiaeth Blynyddol'!D12),$B$197&amp;B203,$B$196),$B$195))</f>
        <v>Defnyddiwyd Data Wedi'i Ragosod</v>
      </c>
      <c r="G20" s="365"/>
      <c r="H20" s="365"/>
      <c r="I20" s="366"/>
    </row>
    <row r="21" spans="1:11" ht="29.25" customHeight="1" x14ac:dyDescent="0.2">
      <c r="A21" s="104"/>
      <c r="B21" s="358"/>
      <c r="C21" s="299" t="s">
        <v>89</v>
      </c>
      <c r="D21" s="290">
        <v>25</v>
      </c>
      <c r="E21" s="119" t="str">
        <f>IF(OR(F21=$B$195,F21=$B$196),"Y","N")</f>
        <v>Y</v>
      </c>
      <c r="F21" s="372" t="str">
        <f>IF(D21="",$B$194,IF(D21="Arall",IF(ISBLANK('Rhagdybiaeth Blynyddol'!D16),$B$197&amp;B203,$B$196),$B$195))</f>
        <v>Defnyddiwyd Data Wedi'i Ragosod</v>
      </c>
      <c r="G21" s="372"/>
      <c r="H21" s="372"/>
      <c r="I21" s="367"/>
    </row>
    <row r="22" spans="1:11" ht="38.25" customHeight="1" x14ac:dyDescent="0.2">
      <c r="A22" s="104"/>
      <c r="B22" s="358"/>
      <c r="C22" s="299" t="s">
        <v>87</v>
      </c>
      <c r="D22" s="294" t="s">
        <v>265</v>
      </c>
      <c r="E22" s="119" t="str">
        <f>IF(OR(F22=$B$195,F22=$B$196),"Y","N")</f>
        <v>N</v>
      </c>
      <c r="F22" s="372" t="str">
        <f>IF(ISBLANK('Rhagdybiaeth Blynyddol'!D18),'Rhaniad y Ddeiliadaeth (Cymru)'!B197&amp;'Rhaniad y Ddeiliadaeth (Cymru)'!B203,'Rhaniad y Ddeiliadaeth (Cymru)'!B196)</f>
        <v>Rhowch ddata'r defnyddiwr ar y daflen:'Rhagdybiaeth Blynyddol'</v>
      </c>
      <c r="G22" s="372"/>
      <c r="H22" s="372"/>
      <c r="I22" s="367"/>
    </row>
    <row r="23" spans="1:11" ht="15" customHeight="1" x14ac:dyDescent="0.2">
      <c r="A23" s="104"/>
      <c r="B23" s="358"/>
      <c r="C23" s="298" t="s">
        <v>90</v>
      </c>
      <c r="D23" s="290" t="s">
        <v>135</v>
      </c>
      <c r="E23" s="119" t="str">
        <f>IF(OR(F23=$B$195,F23=$B$196),"Y","N")</f>
        <v>Y</v>
      </c>
      <c r="F23" s="373" t="str">
        <f>IF(D23="",$B$194,IF(D23="Arall",IF(ISBLANK('Rhagdybiaeth Blynyddol'!D21),$B$197&amp;B203,$B$196),$B$195))</f>
        <v>Defnyddiwyd Data Wedi'i Ragosod</v>
      </c>
      <c r="G23" s="373"/>
      <c r="H23" s="373"/>
      <c r="I23" s="374"/>
    </row>
    <row r="24" spans="1:11" ht="24.75" customHeight="1" x14ac:dyDescent="0.2">
      <c r="A24" s="104"/>
      <c r="B24" s="358"/>
      <c r="C24" s="105" t="s">
        <v>325</v>
      </c>
      <c r="D24" s="272"/>
      <c r="E24" s="121"/>
      <c r="F24" s="272"/>
      <c r="G24" s="292"/>
      <c r="H24" s="272"/>
      <c r="I24" s="293"/>
    </row>
    <row r="25" spans="1:11" ht="28.5" customHeight="1" x14ac:dyDescent="0.2">
      <c r="A25" s="104"/>
      <c r="B25" s="359"/>
      <c r="C25" s="300" t="s">
        <v>212</v>
      </c>
      <c r="D25" s="291" t="s">
        <v>135</v>
      </c>
      <c r="E25" s="122" t="str">
        <f>IF(OR(F25=$B$195,F25=$B$196),"Y","N")</f>
        <v>Y</v>
      </c>
      <c r="F25" s="369" t="str">
        <f>IF(D25="",$B$194,IF(D25="Arall",IF('Rhagolygon y Dyfodol'!I27&lt;5,$B$197&amp;B204,$B$196),$B$195))</f>
        <v>Defnyddiwyd Data Wedi'i Ragosod</v>
      </c>
      <c r="G25" s="369"/>
      <c r="H25" s="369"/>
      <c r="I25" s="370"/>
    </row>
    <row r="26" spans="1:11" ht="15" customHeight="1" x14ac:dyDescent="0.2">
      <c r="C26" s="76"/>
      <c r="D26" s="77"/>
      <c r="E26" s="74"/>
      <c r="F26" s="78"/>
      <c r="G26" s="78"/>
      <c r="H26" s="78"/>
      <c r="I26" s="78"/>
    </row>
    <row r="27" spans="1:11" ht="15" customHeight="1" x14ac:dyDescent="0.2">
      <c r="B27" s="79" t="str">
        <f>IF(C133=1,"","Sylwadau ar y rhagdybiaethau a ddewiswyd ar gyfer rhaniad o ddwy ddeiliadaeth: "&amp;D1)</f>
        <v>Sylwadau ar y rhagdybiaethau a ddewiswyd ar gyfer rhaniad o ddwy ddeiliadaeth: Cymru</v>
      </c>
      <c r="D27" s="77"/>
      <c r="E27" s="74"/>
      <c r="F27" s="78"/>
      <c r="G27" s="78"/>
      <c r="H27" s="78"/>
      <c r="I27" s="78"/>
    </row>
    <row r="28" spans="1:11" ht="15" customHeight="1" x14ac:dyDescent="0.2">
      <c r="B28" s="360" t="str">
        <f>B188</f>
        <v>Mae'r ffigurau isod yn rhannu'r amcangyfrifon o'r angen o ran tai yn ddwy ddeiliadaeth, ac maent wedi'i seilio ar y rhagdybiaethau canlynol. Mae amcangyfrifon sylfaenol yr unedau tai ychwanegol wedi'u seilio ar  amcanestyniadau aelwydydd gan Llywodraeth Cymru sy'n seiliedig ar 2014 (Prif Amcanestyniadau), ac amcangyfrif o 5645 aelwydydd o ran angen presennol nas diwallwyd  a fydd yn cymryd 5 mlynedd i'w diwallu.Mae data ar incwm yn seiliedig ar  Ddata Llywodraeth Cymru ac mae data ar renti preifat yn seiliedig ar  Ddata Llywodraeth Cymru. Mae'r newid blynyddol i incwm canolrifol yr aelwyd yn seiliedig ar amcangyfrifon wedi'u rhagosod, mae'r newid blynyddol i ddosbarthiad incwm yr aelwyd yn seiliedig ar amcangyfrifon wedi'u rhagosod ac mae'r newid blynyddol i brisiau rhenti yn seiliedig ar amcangyfrifon wedi'u rhagosod.</v>
      </c>
      <c r="C28" s="360"/>
      <c r="D28" s="360"/>
      <c r="E28" s="360"/>
      <c r="F28" s="360"/>
      <c r="G28" s="360"/>
      <c r="H28" s="360"/>
      <c r="I28" s="360"/>
      <c r="J28" s="360"/>
      <c r="K28" s="107"/>
    </row>
    <row r="29" spans="1:11" ht="15" customHeight="1" x14ac:dyDescent="0.2">
      <c r="B29" s="360"/>
      <c r="C29" s="360"/>
      <c r="D29" s="360"/>
      <c r="E29" s="360"/>
      <c r="F29" s="360"/>
      <c r="G29" s="360"/>
      <c r="H29" s="360"/>
      <c r="I29" s="360"/>
      <c r="J29" s="360"/>
      <c r="K29" s="107"/>
    </row>
    <row r="30" spans="1:11" ht="15" customHeight="1" x14ac:dyDescent="0.2">
      <c r="B30" s="360"/>
      <c r="C30" s="360"/>
      <c r="D30" s="360"/>
      <c r="E30" s="360"/>
      <c r="F30" s="360"/>
      <c r="G30" s="360"/>
      <c r="H30" s="360"/>
      <c r="I30" s="360"/>
      <c r="J30" s="360"/>
      <c r="K30" s="107"/>
    </row>
    <row r="31" spans="1:11" ht="15" customHeight="1" x14ac:dyDescent="0.2">
      <c r="B31" s="360"/>
      <c r="C31" s="360"/>
      <c r="D31" s="360"/>
      <c r="E31" s="360"/>
      <c r="F31" s="360"/>
      <c r="G31" s="360"/>
      <c r="H31" s="360"/>
      <c r="I31" s="360"/>
      <c r="J31" s="360"/>
      <c r="K31" s="107"/>
    </row>
    <row r="32" spans="1:11" ht="15" customHeight="1" x14ac:dyDescent="0.2">
      <c r="B32" s="360"/>
      <c r="C32" s="360"/>
      <c r="D32" s="360"/>
      <c r="E32" s="360"/>
      <c r="F32" s="360"/>
      <c r="G32" s="360"/>
      <c r="H32" s="360"/>
      <c r="I32" s="360"/>
      <c r="J32" s="360"/>
      <c r="K32" s="107"/>
    </row>
    <row r="33" spans="2:11" ht="15" customHeight="1" x14ac:dyDescent="0.2">
      <c r="B33" s="108"/>
      <c r="C33" s="71"/>
      <c r="D33" s="71"/>
      <c r="E33" s="71"/>
      <c r="F33" s="71"/>
      <c r="G33" s="71"/>
      <c r="H33" s="71"/>
      <c r="I33" s="71"/>
      <c r="J33" s="71"/>
      <c r="K33" s="107"/>
    </row>
    <row r="34" spans="2:11" ht="15" customHeight="1" x14ac:dyDescent="0.2">
      <c r="B34" s="108"/>
      <c r="C34" s="71"/>
      <c r="D34" s="71"/>
      <c r="E34" s="71"/>
      <c r="F34" s="71"/>
      <c r="G34" s="71"/>
      <c r="H34" s="71"/>
      <c r="I34" s="71"/>
      <c r="J34" s="71"/>
      <c r="K34" s="107"/>
    </row>
    <row r="35" spans="2:11" ht="15" customHeight="1" x14ac:dyDescent="0.2">
      <c r="B35" s="108"/>
      <c r="C35" s="71"/>
      <c r="D35" s="71"/>
      <c r="E35" s="71"/>
      <c r="F35" s="71"/>
      <c r="G35" s="71"/>
      <c r="H35" s="71"/>
      <c r="I35" s="71"/>
      <c r="J35" s="71"/>
      <c r="K35" s="107"/>
    </row>
    <row r="36" spans="2:11" ht="15" customHeight="1" x14ac:dyDescent="0.2">
      <c r="B36" s="108"/>
      <c r="C36" s="71"/>
      <c r="D36" s="71"/>
      <c r="E36" s="71"/>
      <c r="F36" s="71"/>
      <c r="G36" s="71"/>
      <c r="H36" s="71"/>
      <c r="I36" s="71"/>
      <c r="J36" s="71"/>
      <c r="K36" s="107"/>
    </row>
    <row r="37" spans="2:11" ht="15" customHeight="1" x14ac:dyDescent="0.2">
      <c r="B37" s="108"/>
      <c r="C37" s="71"/>
      <c r="D37" s="71"/>
      <c r="E37" s="71"/>
      <c r="F37" s="71"/>
      <c r="G37" s="71"/>
      <c r="H37" s="71"/>
      <c r="I37" s="71"/>
      <c r="J37" s="71"/>
      <c r="K37" s="107"/>
    </row>
    <row r="38" spans="2:11" ht="15" customHeight="1" x14ac:dyDescent="0.2">
      <c r="B38" s="71"/>
      <c r="C38" s="71"/>
      <c r="D38" s="71"/>
      <c r="E38" s="71"/>
      <c r="F38" s="71"/>
      <c r="G38" s="71"/>
      <c r="H38" s="71"/>
      <c r="I38" s="71"/>
      <c r="J38" s="71"/>
      <c r="K38" s="107"/>
    </row>
    <row r="39" spans="2:11" ht="15" customHeight="1" x14ac:dyDescent="0.2">
      <c r="B39" s="71"/>
      <c r="C39" s="71"/>
      <c r="D39" s="71"/>
      <c r="E39" s="71"/>
      <c r="F39" s="71"/>
      <c r="G39" s="71"/>
      <c r="H39" s="71"/>
      <c r="I39" s="71"/>
      <c r="J39" s="71"/>
      <c r="K39" s="107"/>
    </row>
    <row r="40" spans="2:11" ht="15" customHeight="1" x14ac:dyDescent="0.2">
      <c r="B40" s="71"/>
      <c r="C40" s="71"/>
      <c r="D40" s="71"/>
      <c r="E40" s="71"/>
      <c r="F40" s="71"/>
      <c r="G40" s="71"/>
      <c r="H40" s="71"/>
      <c r="I40" s="71"/>
      <c r="J40" s="71"/>
      <c r="K40" s="107"/>
    </row>
    <row r="41" spans="2:11" ht="15" customHeight="1" x14ac:dyDescent="0.2">
      <c r="B41" s="71"/>
      <c r="C41" s="71"/>
      <c r="D41" s="71"/>
      <c r="E41" s="71"/>
      <c r="F41" s="71"/>
      <c r="G41" s="71"/>
      <c r="H41" s="71"/>
      <c r="I41" s="71"/>
      <c r="J41" s="71"/>
      <c r="K41" s="107"/>
    </row>
    <row r="42" spans="2:11" ht="15" customHeight="1" x14ac:dyDescent="0.2">
      <c r="B42" s="71"/>
      <c r="C42" s="71"/>
      <c r="D42" s="71"/>
      <c r="E42" s="71"/>
      <c r="F42" s="71"/>
      <c r="G42" s="71"/>
      <c r="H42" s="71"/>
      <c r="I42" s="71"/>
      <c r="J42" s="71"/>
      <c r="K42" s="107"/>
    </row>
    <row r="43" spans="2:11" ht="15" customHeight="1" x14ac:dyDescent="0.2">
      <c r="B43" s="71"/>
      <c r="C43" s="71"/>
      <c r="D43" s="71"/>
      <c r="E43" s="71"/>
      <c r="F43" s="71"/>
      <c r="G43" s="71"/>
      <c r="H43" s="71"/>
      <c r="I43" s="71"/>
      <c r="J43" s="71"/>
      <c r="K43" s="107"/>
    </row>
    <row r="44" spans="2:11" ht="15" customHeight="1" x14ac:dyDescent="0.2">
      <c r="B44" s="71"/>
      <c r="C44" s="71"/>
      <c r="D44" s="71"/>
      <c r="E44" s="71"/>
      <c r="F44" s="71"/>
      <c r="G44" s="71"/>
      <c r="H44" s="71"/>
      <c r="I44" s="71"/>
      <c r="J44" s="71"/>
      <c r="K44" s="107"/>
    </row>
    <row r="45" spans="2:11" ht="15" customHeight="1" x14ac:dyDescent="0.2">
      <c r="B45" s="71"/>
      <c r="C45" s="71"/>
      <c r="D45" s="71"/>
      <c r="E45" s="71"/>
      <c r="F45" s="71"/>
      <c r="G45" s="71"/>
      <c r="H45" s="71"/>
      <c r="I45" s="71"/>
      <c r="J45" s="71"/>
      <c r="K45" s="107"/>
    </row>
    <row r="46" spans="2:11" ht="15" customHeight="1" x14ac:dyDescent="0.2">
      <c r="B46" s="71"/>
      <c r="C46" s="71"/>
      <c r="D46" s="71"/>
      <c r="E46" s="71"/>
      <c r="F46" s="71"/>
      <c r="G46" s="71"/>
      <c r="H46" s="71"/>
      <c r="I46" s="71"/>
      <c r="J46" s="71"/>
      <c r="K46" s="107"/>
    </row>
    <row r="47" spans="2:11" ht="15" customHeight="1" x14ac:dyDescent="0.2">
      <c r="B47" s="71"/>
      <c r="C47" s="71"/>
      <c r="D47" s="71"/>
      <c r="E47" s="71"/>
      <c r="F47" s="71"/>
      <c r="G47" s="71"/>
      <c r="H47" s="71"/>
      <c r="I47" s="71"/>
      <c r="J47" s="71"/>
      <c r="K47" s="107"/>
    </row>
    <row r="48" spans="2:11" ht="15" customHeight="1" x14ac:dyDescent="0.2">
      <c r="B48" s="71"/>
      <c r="C48" s="71"/>
      <c r="D48" s="71"/>
      <c r="E48" s="71"/>
      <c r="F48" s="71"/>
      <c r="G48" s="71"/>
      <c r="H48" s="71"/>
      <c r="I48" s="71"/>
      <c r="J48" s="71"/>
      <c r="K48" s="107"/>
    </row>
    <row r="49" spans="2:11" ht="15" customHeight="1" x14ac:dyDescent="0.2">
      <c r="B49" s="71"/>
      <c r="C49" s="71"/>
      <c r="D49" s="71"/>
      <c r="E49" s="71"/>
      <c r="F49" s="71"/>
      <c r="G49" s="71"/>
      <c r="H49" s="71"/>
      <c r="I49" s="71"/>
      <c r="J49" s="71"/>
      <c r="K49" s="107"/>
    </row>
    <row r="50" spans="2:11" ht="15" customHeight="1" x14ac:dyDescent="0.2">
      <c r="B50" s="71"/>
      <c r="C50" s="71"/>
      <c r="D50" s="71"/>
      <c r="E50" s="71"/>
      <c r="F50" s="71"/>
      <c r="G50" s="71"/>
      <c r="H50" s="71"/>
      <c r="I50" s="71"/>
      <c r="J50" s="71"/>
      <c r="K50" s="107"/>
    </row>
    <row r="51" spans="2:11" ht="15" customHeight="1" x14ac:dyDescent="0.2">
      <c r="B51" s="71"/>
      <c r="C51" s="71"/>
      <c r="D51" s="71"/>
      <c r="E51" s="71"/>
      <c r="F51" s="71"/>
      <c r="G51" s="71"/>
      <c r="H51" s="71"/>
      <c r="I51" s="71"/>
      <c r="J51" s="71"/>
      <c r="K51" s="107"/>
    </row>
    <row r="52" spans="2:11" ht="15" customHeight="1" x14ac:dyDescent="0.2">
      <c r="B52" s="377" t="s">
        <v>287</v>
      </c>
      <c r="C52" s="347"/>
      <c r="D52" s="347"/>
      <c r="E52" s="347"/>
      <c r="F52" s="347"/>
      <c r="G52" s="347"/>
      <c r="H52" s="347"/>
      <c r="I52" s="347"/>
      <c r="J52" s="348"/>
      <c r="K52" s="107"/>
    </row>
    <row r="53" spans="2:11" ht="15" customHeight="1" x14ac:dyDescent="0.2">
      <c r="B53" s="349"/>
      <c r="C53" s="350"/>
      <c r="D53" s="350"/>
      <c r="E53" s="350"/>
      <c r="F53" s="350"/>
      <c r="G53" s="350"/>
      <c r="H53" s="350"/>
      <c r="I53" s="350"/>
      <c r="J53" s="351"/>
      <c r="K53" s="107"/>
    </row>
    <row r="54" spans="2:11" ht="15" customHeight="1" x14ac:dyDescent="0.2">
      <c r="B54" s="241"/>
      <c r="C54" s="241"/>
      <c r="D54" s="241"/>
      <c r="E54" s="241"/>
      <c r="F54" s="241"/>
      <c r="G54" s="241"/>
      <c r="H54" s="241"/>
      <c r="I54" s="241"/>
      <c r="J54" s="241"/>
      <c r="K54" s="107"/>
    </row>
    <row r="55" spans="2:11" ht="15" customHeight="1" x14ac:dyDescent="0.2">
      <c r="B55" s="83" t="s">
        <v>243</v>
      </c>
      <c r="C55" s="84"/>
      <c r="D55" s="84"/>
      <c r="E55" s="84"/>
      <c r="F55" s="84"/>
      <c r="G55" s="84"/>
      <c r="K55" s="107"/>
    </row>
    <row r="56" spans="2:11" ht="24.75" customHeight="1" x14ac:dyDescent="0.2">
      <c r="B56" s="268" t="str">
        <f>B148</f>
        <v/>
      </c>
      <c r="C56" s="145" t="str">
        <f t="shared" ref="C56:G56" si="0">C148</f>
        <v>2018/19</v>
      </c>
      <c r="D56" s="145" t="str">
        <f t="shared" si="0"/>
        <v>2019/20</v>
      </c>
      <c r="E56" s="145" t="str">
        <f t="shared" si="0"/>
        <v>2020/21</v>
      </c>
      <c r="F56" s="145" t="str">
        <f t="shared" si="0"/>
        <v>2021/22</v>
      </c>
      <c r="G56" s="145" t="str">
        <f t="shared" si="0"/>
        <v>2022/23</v>
      </c>
      <c r="K56" s="107"/>
    </row>
    <row r="57" spans="2:11" ht="15" customHeight="1" x14ac:dyDescent="0.2">
      <c r="B57" s="110" t="s">
        <v>218</v>
      </c>
      <c r="C57" s="146">
        <f t="shared" ref="C57:G57" si="1">C149</f>
        <v>4475.78</v>
      </c>
      <c r="D57" s="146">
        <f t="shared" si="1"/>
        <v>4248.6499999999996</v>
      </c>
      <c r="E57" s="146">
        <f t="shared" si="1"/>
        <v>4287.6899999999996</v>
      </c>
      <c r="F57" s="146">
        <f t="shared" si="1"/>
        <v>4572.5599999999995</v>
      </c>
      <c r="G57" s="146">
        <f t="shared" si="1"/>
        <v>4413.16</v>
      </c>
      <c r="I57" s="140"/>
      <c r="K57" s="107"/>
    </row>
    <row r="58" spans="2:11" ht="15" customHeight="1" x14ac:dyDescent="0.2">
      <c r="B58" s="110" t="s">
        <v>184</v>
      </c>
      <c r="C58" s="146">
        <f t="shared" ref="C58:G58" si="2">C150</f>
        <v>3872.2200000000003</v>
      </c>
      <c r="D58" s="146">
        <f t="shared" si="2"/>
        <v>3845.3500000000004</v>
      </c>
      <c r="E58" s="146">
        <f t="shared" si="2"/>
        <v>3870.3100000000004</v>
      </c>
      <c r="F58" s="146">
        <f t="shared" si="2"/>
        <v>4052.4400000000005</v>
      </c>
      <c r="G58" s="146">
        <f t="shared" si="2"/>
        <v>3833.84</v>
      </c>
      <c r="I58" s="140"/>
      <c r="K58" s="107"/>
    </row>
    <row r="59" spans="2:11" ht="15" customHeight="1" x14ac:dyDescent="0.2">
      <c r="K59" s="107"/>
    </row>
    <row r="60" spans="2:11" ht="15" customHeight="1" x14ac:dyDescent="0.2">
      <c r="B60" s="72" t="s">
        <v>244</v>
      </c>
      <c r="K60" s="107"/>
    </row>
    <row r="61" spans="2:11" ht="15" customHeight="1" x14ac:dyDescent="0.2">
      <c r="B61" s="110" t="str">
        <f>B151</f>
        <v/>
      </c>
      <c r="C61" s="147" t="str">
        <f t="shared" ref="C61:G61" si="3">C151</f>
        <v>2018/19</v>
      </c>
      <c r="D61" s="147" t="str">
        <f t="shared" si="3"/>
        <v>2019/20</v>
      </c>
      <c r="E61" s="147" t="str">
        <f t="shared" si="3"/>
        <v>2020/21</v>
      </c>
      <c r="F61" s="147" t="str">
        <f t="shared" si="3"/>
        <v>2021/22</v>
      </c>
      <c r="G61" s="147" t="str">
        <f t="shared" si="3"/>
        <v>2022/23</v>
      </c>
      <c r="I61" s="149" t="str">
        <f>I151</f>
        <v>Rhaniad Blynyddol Cyfartalog ar draws 5 mlynedd</v>
      </c>
      <c r="J61" s="149"/>
      <c r="K61" s="107"/>
    </row>
    <row r="62" spans="2:11" ht="15" customHeight="1" x14ac:dyDescent="0.2">
      <c r="B62" s="110" t="s">
        <v>218</v>
      </c>
      <c r="C62" s="148">
        <f>C152</f>
        <v>0.53614997604216574</v>
      </c>
      <c r="D62" s="148">
        <f t="shared" ref="D62:G63" si="4">D152</f>
        <v>0.52491351618482818</v>
      </c>
      <c r="E62" s="148">
        <f t="shared" si="4"/>
        <v>0.52558102476097079</v>
      </c>
      <c r="F62" s="148">
        <f t="shared" si="4"/>
        <v>0.53015188405797098</v>
      </c>
      <c r="G62" s="148">
        <f t="shared" si="4"/>
        <v>0.53512307505759671</v>
      </c>
      <c r="I62" s="353">
        <f>I152</f>
        <v>0.53042631172839505</v>
      </c>
      <c r="J62" s="353"/>
      <c r="K62" s="107"/>
    </row>
    <row r="63" spans="2:11" ht="15" customHeight="1" x14ac:dyDescent="0.2">
      <c r="B63" s="110" t="s">
        <v>184</v>
      </c>
      <c r="C63" s="148">
        <f>C153</f>
        <v>0.46385002395783426</v>
      </c>
      <c r="D63" s="148">
        <f t="shared" si="4"/>
        <v>0.47508648381517177</v>
      </c>
      <c r="E63" s="148">
        <f t="shared" si="4"/>
        <v>0.47441897523902921</v>
      </c>
      <c r="F63" s="148">
        <f t="shared" si="4"/>
        <v>0.46984811594202902</v>
      </c>
      <c r="G63" s="148">
        <f t="shared" si="4"/>
        <v>0.46487692494240329</v>
      </c>
      <c r="I63" s="353">
        <f>I153</f>
        <v>0.46957368827160501</v>
      </c>
      <c r="J63" s="353"/>
      <c r="K63" s="107"/>
    </row>
    <row r="64" spans="2:11" ht="15" customHeight="1" x14ac:dyDescent="0.2">
      <c r="B64" s="108"/>
      <c r="C64" s="71"/>
      <c r="D64" s="71"/>
      <c r="E64" s="71"/>
      <c r="F64" s="71"/>
      <c r="G64" s="71"/>
      <c r="H64" s="71"/>
      <c r="I64" s="71"/>
      <c r="J64" s="71"/>
      <c r="K64" s="107"/>
    </row>
    <row r="65" spans="2:11" ht="15" customHeight="1" x14ac:dyDescent="0.2">
      <c r="B65" s="79" t="str">
        <f>IF(C145=1,"","Sylwadau ar y rhagdybiaethau a ddewiswyd ar gyfer rhaniad o bediar deiliadaeth")</f>
        <v/>
      </c>
      <c r="C65" s="71"/>
      <c r="D65" s="71"/>
      <c r="E65" s="71"/>
      <c r="F65" s="71"/>
      <c r="G65" s="71"/>
      <c r="H65" s="71"/>
      <c r="I65" s="71"/>
      <c r="J65" s="71"/>
      <c r="K65" s="107"/>
    </row>
    <row r="66" spans="2:11" ht="15" customHeight="1" x14ac:dyDescent="0.2">
      <c r="B66" s="360" t="str">
        <f>B192</f>
        <v>Ni fydd amcangyfrifon wedi'u rhannu'n 4 deiliadaeth yn ymddangos hyd nes bod y tabl uchod wedi'i gwblhau.</v>
      </c>
      <c r="C66" s="360"/>
      <c r="D66" s="360"/>
      <c r="E66" s="360"/>
      <c r="F66" s="360"/>
      <c r="G66" s="360"/>
      <c r="H66" s="360"/>
      <c r="I66" s="360"/>
      <c r="J66" s="360"/>
      <c r="K66" s="107"/>
    </row>
    <row r="67" spans="2:11" ht="15" customHeight="1" x14ac:dyDescent="0.2">
      <c r="B67" s="360"/>
      <c r="C67" s="360"/>
      <c r="D67" s="360"/>
      <c r="E67" s="360"/>
      <c r="F67" s="360"/>
      <c r="G67" s="360"/>
      <c r="H67" s="360"/>
      <c r="I67" s="360"/>
      <c r="J67" s="360"/>
      <c r="K67" s="107"/>
    </row>
    <row r="68" spans="2:11" ht="15" customHeight="1" x14ac:dyDescent="0.2">
      <c r="B68" s="360"/>
      <c r="C68" s="360"/>
      <c r="D68" s="360"/>
      <c r="E68" s="360"/>
      <c r="F68" s="360"/>
      <c r="G68" s="360"/>
      <c r="H68" s="360"/>
      <c r="I68" s="360"/>
      <c r="J68" s="360"/>
      <c r="K68" s="107"/>
    </row>
    <row r="69" spans="2:11" ht="15" customHeight="1" x14ac:dyDescent="0.2">
      <c r="B69" s="360"/>
      <c r="C69" s="360"/>
      <c r="D69" s="360"/>
      <c r="E69" s="360"/>
      <c r="F69" s="360"/>
      <c r="G69" s="360"/>
      <c r="H69" s="360"/>
      <c r="I69" s="360"/>
      <c r="J69" s="360"/>
      <c r="K69" s="107"/>
    </row>
    <row r="70" spans="2:11" ht="15" customHeight="1" x14ac:dyDescent="0.2">
      <c r="C70" s="76"/>
      <c r="D70" s="80"/>
      <c r="F70" s="81"/>
      <c r="G70" s="82"/>
    </row>
    <row r="71" spans="2:11" ht="15" customHeight="1" x14ac:dyDescent="0.2">
      <c r="C71" s="76"/>
      <c r="D71" s="80"/>
      <c r="E71" s="82"/>
      <c r="F71" s="81"/>
      <c r="G71" s="82"/>
    </row>
    <row r="72" spans="2:11" ht="15" customHeight="1" x14ac:dyDescent="0.2">
      <c r="C72" s="76"/>
      <c r="D72" s="80"/>
      <c r="E72" s="82"/>
      <c r="F72" s="81"/>
      <c r="G72" s="82"/>
    </row>
    <row r="73" spans="2:11" ht="15" customHeight="1" x14ac:dyDescent="0.2">
      <c r="C73" s="76"/>
      <c r="D73" s="80"/>
      <c r="E73" s="82"/>
      <c r="F73" s="81"/>
      <c r="G73" s="82"/>
    </row>
    <row r="74" spans="2:11" ht="15" customHeight="1" x14ac:dyDescent="0.2">
      <c r="C74" s="76"/>
      <c r="D74" s="80"/>
      <c r="E74" s="82"/>
      <c r="F74" s="81"/>
      <c r="G74" s="82"/>
    </row>
    <row r="75" spans="2:11" ht="15" customHeight="1" x14ac:dyDescent="0.2">
      <c r="C75" s="76"/>
      <c r="D75" s="80"/>
      <c r="E75" s="82"/>
      <c r="F75" s="81"/>
      <c r="G75" s="82"/>
    </row>
    <row r="76" spans="2:11" ht="15" customHeight="1" x14ac:dyDescent="0.2">
      <c r="C76" s="76"/>
      <c r="D76" s="80"/>
      <c r="E76" s="82"/>
      <c r="F76" s="81"/>
      <c r="G76" s="82"/>
    </row>
    <row r="77" spans="2:11" ht="15" customHeight="1" x14ac:dyDescent="0.2">
      <c r="C77" s="76"/>
      <c r="D77" s="80"/>
      <c r="E77" s="82"/>
      <c r="F77" s="81"/>
      <c r="G77" s="82"/>
    </row>
    <row r="78" spans="2:11" ht="15" customHeight="1" x14ac:dyDescent="0.2">
      <c r="C78" s="76"/>
      <c r="D78" s="80"/>
      <c r="E78" s="82"/>
      <c r="F78" s="81"/>
      <c r="G78" s="82"/>
    </row>
    <row r="79" spans="2:11" ht="15" customHeight="1" x14ac:dyDescent="0.2">
      <c r="C79" s="76"/>
      <c r="D79" s="80"/>
      <c r="E79" s="82"/>
      <c r="F79" s="81"/>
      <c r="G79" s="82"/>
    </row>
    <row r="80" spans="2:11" ht="15" customHeight="1" x14ac:dyDescent="0.2">
      <c r="C80" s="76"/>
      <c r="D80" s="80"/>
      <c r="E80" s="82"/>
      <c r="F80" s="81"/>
      <c r="G80" s="82"/>
    </row>
    <row r="81" spans="2:7" ht="15" customHeight="1" x14ac:dyDescent="0.2">
      <c r="C81" s="76"/>
      <c r="D81" s="80"/>
      <c r="E81" s="82"/>
      <c r="F81" s="81"/>
      <c r="G81" s="82"/>
    </row>
    <row r="82" spans="2:7" ht="15" customHeight="1" x14ac:dyDescent="0.2">
      <c r="C82" s="76"/>
      <c r="D82" s="80"/>
      <c r="E82" s="82"/>
      <c r="F82" s="81"/>
      <c r="G82" s="82"/>
    </row>
    <row r="83" spans="2:7" ht="15" customHeight="1" x14ac:dyDescent="0.2">
      <c r="C83" s="76"/>
      <c r="D83" s="80"/>
      <c r="E83" s="82"/>
      <c r="F83" s="81"/>
      <c r="G83" s="82"/>
    </row>
    <row r="84" spans="2:7" ht="15" customHeight="1" x14ac:dyDescent="0.2">
      <c r="C84" s="76"/>
      <c r="D84" s="80"/>
      <c r="E84" s="82"/>
      <c r="F84" s="81"/>
      <c r="G84" s="82"/>
    </row>
    <row r="85" spans="2:7" ht="15" customHeight="1" x14ac:dyDescent="0.2">
      <c r="C85" s="76"/>
      <c r="D85" s="80"/>
      <c r="E85" s="82"/>
      <c r="F85" s="81"/>
      <c r="G85" s="82"/>
    </row>
    <row r="86" spans="2:7" ht="15" customHeight="1" x14ac:dyDescent="0.2">
      <c r="C86" s="76"/>
      <c r="D86" s="80"/>
      <c r="E86" s="82"/>
      <c r="F86" s="81"/>
      <c r="G86" s="82"/>
    </row>
    <row r="87" spans="2:7" ht="15" customHeight="1" x14ac:dyDescent="0.2">
      <c r="C87" s="76"/>
      <c r="D87" s="80"/>
      <c r="E87" s="82"/>
      <c r="F87" s="81"/>
      <c r="G87" s="82"/>
    </row>
    <row r="88" spans="2:7" ht="15" customHeight="1" x14ac:dyDescent="0.2">
      <c r="C88" s="76"/>
      <c r="D88" s="80"/>
      <c r="E88" s="82"/>
      <c r="F88" s="81"/>
      <c r="G88" s="82"/>
    </row>
    <row r="89" spans="2:7" ht="15" customHeight="1" x14ac:dyDescent="0.2">
      <c r="C89" s="76"/>
      <c r="D89" s="80"/>
      <c r="E89" s="82"/>
      <c r="F89" s="81"/>
      <c r="G89" s="82"/>
    </row>
    <row r="90" spans="2:7" ht="15" customHeight="1" x14ac:dyDescent="0.2">
      <c r="B90" s="83" t="s">
        <v>340</v>
      </c>
      <c r="C90" s="84"/>
      <c r="D90" s="84"/>
      <c r="E90" s="84"/>
      <c r="F90" s="84"/>
      <c r="G90" s="84"/>
    </row>
    <row r="91" spans="2:7" ht="15" customHeight="1" x14ac:dyDescent="0.2">
      <c r="B91" s="150" t="str">
        <f>B157</f>
        <v>Cwblhewch y tabl i weld amcangyfrifon wedi'u rhannu'n 4 deiliadaeth.</v>
      </c>
      <c r="C91" s="110"/>
      <c r="D91" s="110"/>
      <c r="E91" s="110"/>
      <c r="F91" s="110"/>
      <c r="G91" s="110"/>
    </row>
    <row r="92" spans="2:7" ht="15" customHeight="1" x14ac:dyDescent="0.2">
      <c r="B92" s="150"/>
      <c r="C92" s="145" t="str">
        <f t="shared" ref="C92:G96" si="5">C157</f>
        <v/>
      </c>
      <c r="D92" s="145" t="str">
        <f t="shared" si="5"/>
        <v/>
      </c>
      <c r="E92" s="145" t="str">
        <f t="shared" si="5"/>
        <v/>
      </c>
      <c r="F92" s="145" t="str">
        <f t="shared" si="5"/>
        <v/>
      </c>
      <c r="G92" s="145" t="str">
        <f t="shared" si="5"/>
        <v/>
      </c>
    </row>
    <row r="93" spans="2:7" ht="15" customHeight="1" x14ac:dyDescent="0.2">
      <c r="B93" s="144" t="str">
        <f>B158</f>
        <v/>
      </c>
      <c r="C93" s="151" t="str">
        <f t="shared" si="5"/>
        <v/>
      </c>
      <c r="D93" s="146" t="str">
        <f t="shared" si="5"/>
        <v/>
      </c>
      <c r="E93" s="146" t="str">
        <f t="shared" si="5"/>
        <v/>
      </c>
      <c r="F93" s="146" t="str">
        <f t="shared" si="5"/>
        <v/>
      </c>
      <c r="G93" s="146" t="str">
        <f t="shared" si="5"/>
        <v/>
      </c>
    </row>
    <row r="94" spans="2:7" ht="15" customHeight="1" x14ac:dyDescent="0.2">
      <c r="B94" s="144" t="str">
        <f>B159</f>
        <v/>
      </c>
      <c r="C94" s="146" t="str">
        <f t="shared" si="5"/>
        <v/>
      </c>
      <c r="D94" s="146" t="str">
        <f t="shared" si="5"/>
        <v/>
      </c>
      <c r="E94" s="146" t="str">
        <f t="shared" si="5"/>
        <v/>
      </c>
      <c r="F94" s="146" t="str">
        <f t="shared" si="5"/>
        <v/>
      </c>
      <c r="G94" s="146" t="str">
        <f t="shared" si="5"/>
        <v/>
      </c>
    </row>
    <row r="95" spans="2:7" ht="15" customHeight="1" x14ac:dyDescent="0.2">
      <c r="B95" s="146" t="str">
        <f>B160</f>
        <v/>
      </c>
      <c r="C95" s="146" t="str">
        <f t="shared" si="5"/>
        <v/>
      </c>
      <c r="D95" s="146" t="str">
        <f t="shared" si="5"/>
        <v/>
      </c>
      <c r="E95" s="146" t="str">
        <f t="shared" si="5"/>
        <v/>
      </c>
      <c r="F95" s="146" t="str">
        <f t="shared" si="5"/>
        <v/>
      </c>
      <c r="G95" s="146" t="str">
        <f t="shared" si="5"/>
        <v/>
      </c>
    </row>
    <row r="96" spans="2:7" ht="15" customHeight="1" x14ac:dyDescent="0.2">
      <c r="B96" s="146" t="str">
        <f>B161</f>
        <v/>
      </c>
      <c r="C96" s="146" t="str">
        <f t="shared" si="5"/>
        <v/>
      </c>
      <c r="D96" s="146" t="str">
        <f t="shared" si="5"/>
        <v/>
      </c>
      <c r="E96" s="146" t="str">
        <f t="shared" si="5"/>
        <v/>
      </c>
      <c r="F96" s="146" t="str">
        <f t="shared" si="5"/>
        <v/>
      </c>
      <c r="G96" s="146" t="str">
        <f t="shared" si="5"/>
        <v/>
      </c>
    </row>
    <row r="97" spans="2:20" ht="15" customHeight="1" x14ac:dyDescent="0.2"/>
    <row r="98" spans="2:20" ht="15" customHeight="1" x14ac:dyDescent="0.2">
      <c r="B98" s="72" t="s">
        <v>341</v>
      </c>
    </row>
    <row r="99" spans="2:20" ht="15" customHeight="1" x14ac:dyDescent="0.2">
      <c r="B99" s="110" t="str">
        <f>B162</f>
        <v>Cwblhewch y tabl i weld amcangyfrifon wedi'u rhannu'n 4 deiliadaeth.</v>
      </c>
      <c r="C99" s="110"/>
      <c r="D99" s="110"/>
      <c r="E99" s="110"/>
      <c r="F99" s="110"/>
      <c r="G99" s="110"/>
      <c r="I99" s="149" t="str">
        <f>I162</f>
        <v/>
      </c>
      <c r="J99" s="149"/>
    </row>
    <row r="100" spans="2:20" ht="15" customHeight="1" x14ac:dyDescent="0.2">
      <c r="B100" s="110"/>
      <c r="C100" s="147" t="str">
        <f t="shared" ref="C100:G104" si="6">C162</f>
        <v/>
      </c>
      <c r="D100" s="147" t="str">
        <f t="shared" si="6"/>
        <v/>
      </c>
      <c r="E100" s="147" t="str">
        <f t="shared" si="6"/>
        <v/>
      </c>
      <c r="F100" s="147" t="str">
        <f t="shared" si="6"/>
        <v/>
      </c>
      <c r="G100" s="147" t="str">
        <f t="shared" si="6"/>
        <v/>
      </c>
      <c r="I100" s="149"/>
      <c r="J100" s="149"/>
    </row>
    <row r="101" spans="2:20" ht="15" customHeight="1" x14ac:dyDescent="0.2">
      <c r="B101" s="110" t="str">
        <f>B163</f>
        <v/>
      </c>
      <c r="C101" s="148" t="str">
        <f t="shared" si="6"/>
        <v/>
      </c>
      <c r="D101" s="148" t="str">
        <f t="shared" si="6"/>
        <v/>
      </c>
      <c r="E101" s="148" t="str">
        <f t="shared" si="6"/>
        <v/>
      </c>
      <c r="F101" s="148" t="str">
        <f t="shared" si="6"/>
        <v/>
      </c>
      <c r="G101" s="148" t="str">
        <f t="shared" si="6"/>
        <v/>
      </c>
      <c r="I101" s="353" t="str">
        <f>I163</f>
        <v/>
      </c>
      <c r="J101" s="353"/>
    </row>
    <row r="102" spans="2:20" ht="15" customHeight="1" x14ac:dyDescent="0.2">
      <c r="B102" s="110" t="str">
        <f>B164</f>
        <v/>
      </c>
      <c r="C102" s="148" t="str">
        <f t="shared" si="6"/>
        <v/>
      </c>
      <c r="D102" s="148" t="str">
        <f t="shared" si="6"/>
        <v/>
      </c>
      <c r="E102" s="148" t="str">
        <f t="shared" si="6"/>
        <v/>
      </c>
      <c r="F102" s="148" t="str">
        <f t="shared" si="6"/>
        <v/>
      </c>
      <c r="G102" s="148" t="str">
        <f t="shared" si="6"/>
        <v/>
      </c>
      <c r="I102" s="353" t="str">
        <f>I164</f>
        <v/>
      </c>
      <c r="J102" s="353"/>
    </row>
    <row r="103" spans="2:20" ht="14.25" customHeight="1" x14ac:dyDescent="0.2">
      <c r="B103" s="110" t="str">
        <f>B165</f>
        <v/>
      </c>
      <c r="C103" s="148" t="str">
        <f t="shared" si="6"/>
        <v/>
      </c>
      <c r="D103" s="148" t="str">
        <f t="shared" si="6"/>
        <v/>
      </c>
      <c r="E103" s="148" t="str">
        <f t="shared" si="6"/>
        <v/>
      </c>
      <c r="F103" s="148" t="str">
        <f t="shared" si="6"/>
        <v/>
      </c>
      <c r="G103" s="148" t="str">
        <f t="shared" si="6"/>
        <v/>
      </c>
      <c r="I103" s="353" t="str">
        <f>I165</f>
        <v/>
      </c>
      <c r="J103" s="353"/>
    </row>
    <row r="104" spans="2:20" ht="14.25" customHeight="1" x14ac:dyDescent="0.2">
      <c r="B104" s="110" t="str">
        <f>B166</f>
        <v/>
      </c>
      <c r="C104" s="148" t="str">
        <f t="shared" si="6"/>
        <v/>
      </c>
      <c r="D104" s="148" t="str">
        <f t="shared" si="6"/>
        <v/>
      </c>
      <c r="E104" s="148" t="str">
        <f t="shared" si="6"/>
        <v/>
      </c>
      <c r="F104" s="148" t="str">
        <f t="shared" si="6"/>
        <v/>
      </c>
      <c r="G104" s="148" t="str">
        <f t="shared" si="6"/>
        <v/>
      </c>
      <c r="I104" s="353" t="str">
        <f>I166</f>
        <v/>
      </c>
      <c r="J104" s="353"/>
    </row>
    <row r="105" spans="2:20" ht="14.25" customHeight="1" x14ac:dyDescent="0.2">
      <c r="C105" s="72"/>
      <c r="M105" s="85"/>
      <c r="N105" s="86"/>
      <c r="O105" s="86"/>
      <c r="P105" s="86"/>
      <c r="Q105" s="86"/>
      <c r="R105" s="86"/>
      <c r="S105" s="85"/>
      <c r="T105" s="87"/>
    </row>
    <row r="106" spans="2:20" ht="14.25" customHeight="1" x14ac:dyDescent="0.25">
      <c r="B106" s="70" t="s">
        <v>201</v>
      </c>
      <c r="M106" s="85"/>
      <c r="N106" s="86"/>
      <c r="O106" s="86"/>
      <c r="P106" s="86"/>
      <c r="Q106" s="86"/>
      <c r="R106" s="86"/>
      <c r="S106" s="85"/>
      <c r="T106" s="87"/>
    </row>
    <row r="107" spans="2:20" ht="14.25" customHeight="1" x14ac:dyDescent="0.2">
      <c r="B107" s="156"/>
      <c r="C107" s="157" t="s">
        <v>0</v>
      </c>
      <c r="D107" s="157" t="s">
        <v>1</v>
      </c>
      <c r="E107" s="157" t="s">
        <v>2</v>
      </c>
      <c r="F107" s="157" t="s">
        <v>3</v>
      </c>
      <c r="G107" s="158" t="s">
        <v>4</v>
      </c>
      <c r="M107" s="85"/>
      <c r="N107" s="86"/>
      <c r="O107" s="86"/>
      <c r="P107" s="86"/>
      <c r="Q107" s="86"/>
      <c r="R107" s="86"/>
      <c r="S107" s="85"/>
      <c r="T107" s="87"/>
    </row>
    <row r="108" spans="2:20" ht="38.25" x14ac:dyDescent="0.2">
      <c r="B108" s="159" t="s">
        <v>81</v>
      </c>
      <c r="C108" s="161">
        <f>IF($D11="Wedi'i ragosod",'Rhagdybiaeth Blynyddol'!$D$8,'Rhagdybiaeth Blynyddol'!$D$9)</f>
        <v>0.3</v>
      </c>
      <c r="D108" s="161">
        <f>IF($D11="Wedi'i ragosod",'Rhagdybiaeth Blynyddol'!$D$8,'Rhagdybiaeth Blynyddol'!$D$9)</f>
        <v>0.3</v>
      </c>
      <c r="E108" s="161">
        <f>IF($D11="Wedi'i ragosod",'Rhagdybiaeth Blynyddol'!$D$8,'Rhagdybiaeth Blynyddol'!$D$9)</f>
        <v>0.3</v>
      </c>
      <c r="F108" s="161">
        <f>IF($D11="Wedi'i ragosod",'Rhagdybiaeth Blynyddol'!$D$8,'Rhagdybiaeth Blynyddol'!$D$9)</f>
        <v>0.3</v>
      </c>
      <c r="G108" s="162">
        <f>IF($D11="Wedi'I ragosod",'Rhagdybiaeth Blynyddol'!$D$8,'Rhagdybiaeth Blynyddol'!$D$9)</f>
        <v>0.3</v>
      </c>
      <c r="O108" s="86"/>
      <c r="P108" s="86"/>
      <c r="Q108" s="86"/>
      <c r="R108" s="86"/>
      <c r="S108" s="85"/>
      <c r="T108" s="87"/>
    </row>
    <row r="109" spans="2:20" ht="25.5" x14ac:dyDescent="0.2">
      <c r="B109" s="159" t="s">
        <v>219</v>
      </c>
      <c r="C109" s="161">
        <f>INDEX('Rhagolygon y Dyfodol'!D10:D11,MATCH('Rhaniad y Ddeiliadaeth (Cymru)'!$D$14,'Rhagolygon y Dyfodol'!$C$10:$C$11,0))</f>
        <v>3.5377362656780903E-2</v>
      </c>
      <c r="D109" s="161">
        <f>INDEX('Rhagolygon y Dyfodol'!E10:E11,MATCH('Rhaniad y Ddeiliadaeth (Cymru)'!$D$14,'Rhagolygon y Dyfodol'!$C$10:$C$11,0))</f>
        <v>2.571119448209791E-2</v>
      </c>
      <c r="E109" s="161">
        <f>INDEX('Rhagolygon y Dyfodol'!F10:F11,MATCH('Rhaniad y Ddeiliadaeth (Cymru)'!$D$14,'Rhagolygon y Dyfodol'!$C$10:$C$11,0))</f>
        <v>3.2803011550502595E-2</v>
      </c>
      <c r="F109" s="161">
        <f>INDEX('Rhagolygon y Dyfodol'!G10:G11,MATCH('Rhaniad y Ddeiliadaeth (Cymru)'!$D$14,'Rhagolygon y Dyfodol'!$C$10:$C$11,0))</f>
        <v>3.70858525612624E-2</v>
      </c>
      <c r="G109" s="162">
        <f>INDEX('Rhagolygon y Dyfodol'!H10:H11,MATCH('Rhaniad y Ddeiliadaeth (Cymru)'!$D$14,'Rhagolygon y Dyfodol'!$C$10:$C$11,0))</f>
        <v>3.8062223065459387E-2</v>
      </c>
      <c r="O109" s="86"/>
      <c r="P109" s="86"/>
      <c r="Q109" s="86"/>
      <c r="R109" s="86"/>
      <c r="S109" s="85"/>
      <c r="T109" s="87"/>
    </row>
    <row r="110" spans="2:20" ht="25.5" x14ac:dyDescent="0.2">
      <c r="B110" s="159" t="s">
        <v>220</v>
      </c>
      <c r="C110" s="161">
        <f>INDEX('Rhagolygon y Dyfodol'!D14:D16,MATCH('Rhaniad y Ddeiliadaeth (Cymru)'!$D$15,'Rhagolygon y Dyfodol'!$C$14:$C$16,0))</f>
        <v>0.01</v>
      </c>
      <c r="D110" s="161">
        <f>INDEX('Rhagolygon y Dyfodol'!E14:E16,MATCH('Rhaniad y Ddeiliadaeth (Cymru)'!$D$15,'Rhagolygon y Dyfodol'!$C$14:$C$16,0))</f>
        <v>0.01</v>
      </c>
      <c r="E110" s="161">
        <f>INDEX('Rhagolygon y Dyfodol'!F14:F16,MATCH('Rhaniad y Ddeiliadaeth (Cymru)'!$D$15,'Rhagolygon y Dyfodol'!$C$14:$C$16,0))</f>
        <v>0.01</v>
      </c>
      <c r="F110" s="161">
        <f>INDEX('Rhagolygon y Dyfodol'!G14:G16,MATCH('Rhaniad y Ddeiliadaeth (Cymru)'!$D$15,'Rhagolygon y Dyfodol'!$C$14:$C$16,0))</f>
        <v>0.01</v>
      </c>
      <c r="G110" s="162">
        <f>INDEX('Rhagolygon y Dyfodol'!H14:H16,MATCH('Rhaniad y Ddeiliadaeth (Cymru)'!$D$15,'Rhagolygon y Dyfodol'!$C$14:$C$16,0))</f>
        <v>0.01</v>
      </c>
      <c r="I110" s="245"/>
      <c r="O110" s="86"/>
      <c r="P110" s="86"/>
      <c r="Q110" s="86"/>
      <c r="R110" s="86"/>
      <c r="S110" s="85"/>
      <c r="T110" s="87"/>
    </row>
    <row r="111" spans="2:20" ht="25.5" x14ac:dyDescent="0.2">
      <c r="B111" s="159" t="s">
        <v>221</v>
      </c>
      <c r="C111" s="161">
        <f>INDEX('Rhagolygon y Dyfodol'!D21:D22,MATCH('Rhaniad y Ddeiliadaeth (Cymru)'!$D$16,'Rhagolygon y Dyfodol'!$C$21:$C$22,0))</f>
        <v>2.9066130553574002E-2</v>
      </c>
      <c r="D111" s="161">
        <f>INDEX('Rhagolygon y Dyfodol'!E21:E22,MATCH('Rhaniad y Ddeiliadaeth (Cymru)'!$D$16,'Rhagolygon y Dyfodol'!$C$21:$C$22,0))</f>
        <v>2.9536238937667179E-2</v>
      </c>
      <c r="E111" s="161">
        <f>INDEX('Rhagolygon y Dyfodol'!F21:F22,MATCH('Rhaniad y Ddeiliadaeth (Cymru)'!$D$16,'Rhagolygon y Dyfodol'!$C$21:$C$22,0))</f>
        <v>3.0600923725820621E-2</v>
      </c>
      <c r="F111" s="161">
        <f>INDEX('Rhagolygon y Dyfodol'!G21:G22,MATCH('Rhaniad y Ddeiliadaeth (Cymru)'!$D$16,'Rhagolygon y Dyfodol'!$C$21:$C$22,0))</f>
        <v>3.1212408697362831E-2</v>
      </c>
      <c r="G111" s="162">
        <f>INDEX('Rhagolygon y Dyfodol'!H21:H22,MATCH('Rhaniad y Ddeiliadaeth (Cymru)'!$D$16,'Rhagolygon y Dyfodol'!$C$21:$C$22,0))</f>
        <v>3.1716449662899181E-2</v>
      </c>
      <c r="O111" s="86"/>
      <c r="P111" s="86"/>
      <c r="Q111" s="86"/>
      <c r="R111" s="86"/>
      <c r="S111" s="85"/>
      <c r="T111" s="87"/>
    </row>
    <row r="112" spans="2:20" ht="25.5" x14ac:dyDescent="0.2">
      <c r="B112" s="159" t="s">
        <v>222</v>
      </c>
      <c r="C112" s="163">
        <f>INDEX('Prisiau Rhenti'!D9:D10,MATCH('Rhaniad y Ddeiliadaeth (Cymru)'!D9,'Prisiau Rhenti'!B9:B10,0))*(1+C111)</f>
        <v>6483.116622487516</v>
      </c>
      <c r="D112" s="163">
        <f>C112*(1+D111)</f>
        <v>6674.6035041100695</v>
      </c>
      <c r="E112" s="163">
        <f>D112*(1+E111)</f>
        <v>6878.8525368394376</v>
      </c>
      <c r="F112" s="163">
        <f>E112*(1+F111)</f>
        <v>7093.5580935881617</v>
      </c>
      <c r="G112" s="164">
        <f>F112*(1+G111)</f>
        <v>7318.5405717943022</v>
      </c>
      <c r="O112" s="86"/>
      <c r="P112" s="86"/>
      <c r="Q112" s="86"/>
      <c r="R112" s="86"/>
      <c r="S112" s="85"/>
      <c r="T112" s="87"/>
    </row>
    <row r="113" spans="2:20" ht="25.5" x14ac:dyDescent="0.2">
      <c r="B113" s="159" t="s">
        <v>248</v>
      </c>
      <c r="C113" s="163">
        <f>INDEX('Prisiau Rhenti'!C9:C10,MATCH('Rhaniad y Ddeiliadaeth (Cymru)'!D9,'Prisiau Rhenti'!B9:B10,0))*(1+C111)</f>
        <v>5865.6769441553715</v>
      </c>
      <c r="D113" s="163">
        <f>C113*(1+D111)</f>
        <v>6038.9269799091098</v>
      </c>
      <c r="E113" s="163">
        <f>D113*(1+E111)</f>
        <v>6223.7237238071093</v>
      </c>
      <c r="F113" s="163">
        <f>E113*(1+F111)</f>
        <v>6417.9811322940495</v>
      </c>
      <c r="G113" s="164">
        <f>F113*(1+G111)</f>
        <v>6621.5367078138906</v>
      </c>
      <c r="O113" s="86"/>
      <c r="P113" s="86"/>
      <c r="Q113" s="86"/>
      <c r="R113" s="86"/>
      <c r="S113" s="85"/>
      <c r="T113" s="87"/>
    </row>
    <row r="114" spans="2:20" ht="38.25" x14ac:dyDescent="0.2">
      <c r="B114" s="155" t="s">
        <v>88</v>
      </c>
      <c r="C114" s="165">
        <f>IF($D20="Wedi'i ragosod",'Rhagdybiaeth Blynyddol'!$D$11,'Rhagdybiaeth Blynyddol'!$D$12)</f>
        <v>3.8</v>
      </c>
      <c r="D114" s="165">
        <f>IF($D20="Wedi'i ragosod",'Rhagdybiaeth Blynyddol'!$D$11,'Rhagdybiaeth Blynyddol'!$D$12)</f>
        <v>3.8</v>
      </c>
      <c r="E114" s="165">
        <f>IF($D20="Wedi'i ragosod",'Rhagdybiaeth Blynyddol'!$D$11,'Rhagdybiaeth Blynyddol'!$D$12)</f>
        <v>3.8</v>
      </c>
      <c r="F114" s="165">
        <f>IF($D20="Wedi'i ragosod",'Rhagdybiaeth Blynyddol'!$D$11,'Rhagdybiaeth Blynyddol'!$D$12)</f>
        <v>3.8</v>
      </c>
      <c r="G114" s="166">
        <f>IF($D20="Wedi'i ragosod",'Rhagdybiaeth Blynyddol'!$D$11,'Rhagdybiaeth Blynyddol'!$D$12)</f>
        <v>3.8</v>
      </c>
      <c r="O114" s="86"/>
      <c r="P114" s="86"/>
      <c r="Q114" s="86"/>
      <c r="R114" s="86"/>
      <c r="S114" s="85"/>
      <c r="T114" s="87"/>
    </row>
    <row r="115" spans="2:20" ht="38.25" x14ac:dyDescent="0.2">
      <c r="B115" s="155" t="s">
        <v>89</v>
      </c>
      <c r="C115" s="165">
        <f>IF($D21=25,25,IF($D21=40,40,'Rhagdybiaeth Blynyddol'!$D$16))</f>
        <v>25</v>
      </c>
      <c r="D115" s="165">
        <f>IF($D21=25,25,IF($D21=40,40,'Rhagdybiaeth Blynyddol'!$D$16))</f>
        <v>25</v>
      </c>
      <c r="E115" s="165">
        <f>IF($D21=25,25,IF($D21=40,40,'Rhagdybiaeth Blynyddol'!$D$16))</f>
        <v>25</v>
      </c>
      <c r="F115" s="165">
        <f>IF($D21=25,25,IF($D21=40,40,'Rhagdybiaeth Blynyddol'!$D$16))</f>
        <v>25</v>
      </c>
      <c r="G115" s="166">
        <f>IF($D21=25,25,IF($D21=40,40,'Rhagdybiaeth Blynyddol'!$D$16))</f>
        <v>25</v>
      </c>
      <c r="O115" s="86"/>
      <c r="P115" s="86"/>
      <c r="Q115" s="86"/>
      <c r="R115" s="86"/>
      <c r="S115" s="85"/>
      <c r="T115" s="87"/>
    </row>
    <row r="116" spans="2:20" ht="51" x14ac:dyDescent="0.2">
      <c r="B116" s="155" t="s">
        <v>223</v>
      </c>
      <c r="C116" s="167" t="str">
        <f>IF(ISBLANK('Rhagdybiaeth Blynyddol'!$D$18),"-",'Rhagdybiaeth Blynyddol'!$D$18)</f>
        <v>-</v>
      </c>
      <c r="D116" s="167" t="str">
        <f>IF(ISBLANK('Rhagdybiaeth Blynyddol'!$D$18),"-",'Rhagdybiaeth Blynyddol'!$D$18)</f>
        <v>-</v>
      </c>
      <c r="E116" s="167" t="str">
        <f>IF(ISBLANK('Rhagdybiaeth Blynyddol'!$D$18),"-",'Rhagdybiaeth Blynyddol'!$D$18)</f>
        <v>-</v>
      </c>
      <c r="F116" s="167" t="str">
        <f>IF(ISBLANK('Rhagdybiaeth Blynyddol'!$D$18),"-",'Rhagdybiaeth Blynyddol'!$D$18)</f>
        <v>-</v>
      </c>
      <c r="G116" s="168" t="str">
        <f>IF(ISBLANK('Rhagdybiaeth Blynyddol'!$D$18),"-",'Rhagdybiaeth Blynyddol'!$D$18)</f>
        <v>-</v>
      </c>
      <c r="O116" s="86"/>
      <c r="P116" s="86"/>
      <c r="Q116" s="86"/>
      <c r="R116" s="86"/>
      <c r="S116" s="85"/>
      <c r="T116" s="87"/>
    </row>
    <row r="117" spans="2:20" x14ac:dyDescent="0.2">
      <c r="B117" s="265" t="s">
        <v>90</v>
      </c>
      <c r="C117" s="167">
        <f>IF($D23="Wedi'i ragosod",'Rhagdybiaeth Blynyddol'!$D$20,'Rhagdybiaeth Blynyddol'!$D$21)</f>
        <v>0.35</v>
      </c>
      <c r="D117" s="167">
        <f>IF($D23="Wedi'i ragosod",'Rhagdybiaeth Blynyddol'!$D$20,'Rhagdybiaeth Blynyddol'!$D$21)</f>
        <v>0.35</v>
      </c>
      <c r="E117" s="167">
        <f>IF($D23="Wedi'i ragosod",'Rhagdybiaeth Blynyddol'!$D$20,'Rhagdybiaeth Blynyddol'!$D$21)</f>
        <v>0.35</v>
      </c>
      <c r="F117" s="167">
        <f>IF($D23="Wedi'i ragosod",'Rhagdybiaeth Blynyddol'!$D$20,'Rhagdybiaeth Blynyddol'!$D$21)</f>
        <v>0.35</v>
      </c>
      <c r="G117" s="168">
        <f>IF($D23="Wedi'i ragosod",'Rhagdybiaeth Blynyddol'!$D$20,'Rhagdybiaeth Blynyddol'!$D$21)</f>
        <v>0.35</v>
      </c>
      <c r="O117" s="86"/>
      <c r="P117" s="86"/>
      <c r="Q117" s="86"/>
      <c r="R117" s="86"/>
      <c r="S117" s="85"/>
      <c r="T117" s="87"/>
    </row>
    <row r="118" spans="2:20" ht="25.5" x14ac:dyDescent="0.2">
      <c r="B118" s="160" t="s">
        <v>132</v>
      </c>
      <c r="C118" s="169">
        <f>INDEX('Rhagolygon y Dyfodol'!D26:D27,MATCH('Rhaniad y Ddeiliadaeth (Cymru)'!$D$25,'Rhagolygon y Dyfodol'!$C$26:$C$27,0))</f>
        <v>2.8405585293094449E-2</v>
      </c>
      <c r="D118" s="169">
        <f>INDEX('Rhagolygon y Dyfodol'!E26:E27,MATCH('Rhaniad y Ddeiliadaeth (Cymru)'!$D$25,'Rhagolygon y Dyfodol'!$C$26:$C$27,0))</f>
        <v>2.2265547421218557E-3</v>
      </c>
      <c r="E118" s="169">
        <f>INDEX('Rhagolygon y Dyfodol'!F26:F27,MATCH('Rhaniad y Ddeiliadaeth (Cymru)'!$D$25,'Rhagolygon y Dyfodol'!$C$26:$C$27,0))</f>
        <v>2.1524380028468126E-2</v>
      </c>
      <c r="F118" s="169">
        <f>INDEX('Rhagolygon y Dyfodol'!G26:G27,MATCH('Rhaniad y Ddeiliadaeth (Cymru)'!$D$25,'Rhagolygon y Dyfodol'!$C$26:$C$27,0))</f>
        <v>3.8999168521062666E-2</v>
      </c>
      <c r="G118" s="170">
        <f>INDEX('Rhagolygon y Dyfodol'!H26:H27,MATCH('Rhaniad y Ddeiliadaeth (Cymru)'!$D$25,'Rhagolygon y Dyfodol'!$C$26:$C$27,0))</f>
        <v>4.147992390238664E-2</v>
      </c>
      <c r="O118" s="86"/>
      <c r="P118" s="86"/>
      <c r="Q118" s="86"/>
      <c r="R118" s="86"/>
      <c r="S118" s="85"/>
      <c r="T118" s="87"/>
    </row>
    <row r="119" spans="2:20" ht="14.25" customHeight="1" x14ac:dyDescent="0.2">
      <c r="C119" s="72"/>
      <c r="M119" s="85"/>
      <c r="N119" s="86"/>
      <c r="O119" s="86"/>
      <c r="P119" s="86"/>
      <c r="Q119" s="86"/>
      <c r="R119" s="86"/>
      <c r="S119" s="85"/>
      <c r="T119" s="87"/>
    </row>
    <row r="120" spans="2:20" ht="14.25" hidden="1" customHeight="1" x14ac:dyDescent="0.2">
      <c r="B120" s="113" t="s">
        <v>224</v>
      </c>
      <c r="C120" s="114"/>
      <c r="L120" s="85"/>
      <c r="M120" s="86"/>
      <c r="N120" s="86"/>
      <c r="O120" s="86"/>
      <c r="P120" s="86"/>
      <c r="R120" s="86"/>
      <c r="S120" s="85"/>
      <c r="T120" s="87"/>
    </row>
    <row r="121" spans="2:20" ht="14.25" hidden="1" customHeight="1" x14ac:dyDescent="0.2">
      <c r="B121" s="113" t="s">
        <v>225</v>
      </c>
      <c r="C121" s="115" t="s">
        <v>226</v>
      </c>
      <c r="G121" s="85"/>
      <c r="L121" s="85"/>
      <c r="M121" s="85"/>
      <c r="N121" s="85"/>
      <c r="O121" s="85"/>
      <c r="P121" s="85"/>
      <c r="R121" s="85"/>
      <c r="S121" s="85"/>
      <c r="T121" s="85"/>
    </row>
    <row r="122" spans="2:20" ht="14.25" hidden="1" customHeight="1" x14ac:dyDescent="0.2">
      <c r="B122" s="114" t="s">
        <v>30</v>
      </c>
      <c r="C122" s="114">
        <f>IF(E6="Y",0,1)</f>
        <v>0</v>
      </c>
      <c r="G122" s="85"/>
    </row>
    <row r="123" spans="2:20" ht="14.25" hidden="1" customHeight="1" x14ac:dyDescent="0.2">
      <c r="B123" s="114" t="s">
        <v>151</v>
      </c>
      <c r="C123" s="114">
        <f>IF(E7="Y",0,1)</f>
        <v>0</v>
      </c>
      <c r="G123" s="85"/>
    </row>
    <row r="124" spans="2:20" ht="14.25" hidden="1" customHeight="1" x14ac:dyDescent="0.2">
      <c r="B124" s="114" t="s">
        <v>207</v>
      </c>
      <c r="C124" s="114">
        <f>IF(E8="Y",0,1)</f>
        <v>0</v>
      </c>
      <c r="G124" s="85"/>
    </row>
    <row r="125" spans="2:20" ht="14.25" hidden="1" customHeight="1" x14ac:dyDescent="0.2">
      <c r="B125" s="114" t="s">
        <v>33</v>
      </c>
      <c r="C125" s="114">
        <f>IF(E9="Y",0,1)</f>
        <v>0</v>
      </c>
      <c r="G125" s="85"/>
    </row>
    <row r="126" spans="2:20" ht="14.25" hidden="1" customHeight="1" x14ac:dyDescent="0.2">
      <c r="B126" s="113" t="s">
        <v>227</v>
      </c>
      <c r="C126" s="114"/>
      <c r="G126" s="85"/>
    </row>
    <row r="127" spans="2:20" ht="14.25" hidden="1" customHeight="1" x14ac:dyDescent="0.2">
      <c r="B127" s="114" t="s">
        <v>211</v>
      </c>
      <c r="C127" s="114">
        <f>IF(E11="Y",0,1)</f>
        <v>0</v>
      </c>
      <c r="G127" s="85"/>
    </row>
    <row r="128" spans="2:20" ht="14.25" hidden="1" customHeight="1" x14ac:dyDescent="0.2">
      <c r="B128" s="114" t="s">
        <v>249</v>
      </c>
      <c r="C128" s="114">
        <f>IF(E12="Y",0,1)</f>
        <v>0</v>
      </c>
      <c r="G128" s="85"/>
    </row>
    <row r="129" spans="2:7" ht="14.25" hidden="1" customHeight="1" x14ac:dyDescent="0.2">
      <c r="B129" s="113" t="s">
        <v>228</v>
      </c>
      <c r="C129" s="114"/>
      <c r="G129" s="85"/>
    </row>
    <row r="130" spans="2:7" ht="14.25" hidden="1" customHeight="1" x14ac:dyDescent="0.2">
      <c r="B130" s="114" t="s">
        <v>83</v>
      </c>
      <c r="C130" s="114">
        <f>IF(E14="Y",0,1)</f>
        <v>0</v>
      </c>
      <c r="G130" s="85"/>
    </row>
    <row r="131" spans="2:7" ht="14.25" hidden="1" customHeight="1" x14ac:dyDescent="0.2">
      <c r="B131" s="114" t="s">
        <v>129</v>
      </c>
      <c r="C131" s="114">
        <f>IF(E15="Y",0,1)</f>
        <v>0</v>
      </c>
      <c r="G131" s="85"/>
    </row>
    <row r="132" spans="2:7" ht="14.25" hidden="1" customHeight="1" x14ac:dyDescent="0.2">
      <c r="B132" s="114" t="s">
        <v>85</v>
      </c>
      <c r="C132" s="114">
        <f>IF(E16="Y",0,1)</f>
        <v>0</v>
      </c>
      <c r="G132" s="85"/>
    </row>
    <row r="133" spans="2:7" ht="14.25" hidden="1" customHeight="1" x14ac:dyDescent="0.2">
      <c r="B133" s="114" t="s">
        <v>231</v>
      </c>
      <c r="C133" s="114">
        <f>IF(SUM(C122:C132)&gt;0,1,0)</f>
        <v>0</v>
      </c>
      <c r="G133" s="85"/>
    </row>
    <row r="134" spans="2:7" ht="14.25" hidden="1" customHeight="1" x14ac:dyDescent="0.2">
      <c r="G134" s="85"/>
    </row>
    <row r="135" spans="2:7" ht="14.25" hidden="1" customHeight="1" x14ac:dyDescent="0.2">
      <c r="B135" s="109" t="s">
        <v>336</v>
      </c>
      <c r="C135" s="110"/>
      <c r="G135" s="85"/>
    </row>
    <row r="136" spans="2:7" ht="14.25" hidden="1" customHeight="1" x14ac:dyDescent="0.2">
      <c r="B136" s="109" t="s">
        <v>225</v>
      </c>
      <c r="C136" s="110"/>
      <c r="G136" s="85"/>
    </row>
    <row r="137" spans="2:7" ht="14.25" hidden="1" customHeight="1" x14ac:dyDescent="0.2">
      <c r="B137" s="110" t="s">
        <v>86</v>
      </c>
      <c r="C137" s="110">
        <f>IF(E18="Y",0,1)</f>
        <v>0</v>
      </c>
      <c r="G137" s="85"/>
    </row>
    <row r="138" spans="2:7" ht="14.25" hidden="1" customHeight="1" x14ac:dyDescent="0.2">
      <c r="B138" s="109" t="s">
        <v>227</v>
      </c>
      <c r="C138" s="110"/>
      <c r="G138" s="85"/>
    </row>
    <row r="139" spans="2:7" ht="14.25" hidden="1" customHeight="1" x14ac:dyDescent="0.2">
      <c r="B139" s="110" t="s">
        <v>208</v>
      </c>
      <c r="C139" s="110">
        <f>IF(E20="Y",0,1)</f>
        <v>0</v>
      </c>
      <c r="G139" s="85"/>
    </row>
    <row r="140" spans="2:7" ht="18.75" hidden="1" customHeight="1" x14ac:dyDescent="0.2">
      <c r="B140" s="110" t="s">
        <v>229</v>
      </c>
      <c r="C140" s="110">
        <f>IF(E21="Y",0,1)</f>
        <v>0</v>
      </c>
      <c r="G140" s="85"/>
    </row>
    <row r="141" spans="2:7" ht="18.75" hidden="1" customHeight="1" x14ac:dyDescent="0.2">
      <c r="B141" s="110" t="s">
        <v>230</v>
      </c>
      <c r="C141" s="110">
        <f>IF(E22="Y",0,1)</f>
        <v>1</v>
      </c>
      <c r="G141" s="85"/>
    </row>
    <row r="142" spans="2:7" hidden="1" x14ac:dyDescent="0.2">
      <c r="B142" s="110" t="s">
        <v>213</v>
      </c>
      <c r="C142" s="110">
        <f>IF(E23="Y",0,1)</f>
        <v>0</v>
      </c>
    </row>
    <row r="143" spans="2:7" hidden="1" x14ac:dyDescent="0.2">
      <c r="B143" s="109" t="s">
        <v>228</v>
      </c>
      <c r="C143" s="110"/>
    </row>
    <row r="144" spans="2:7" hidden="1" x14ac:dyDescent="0.2">
      <c r="B144" s="110" t="s">
        <v>91</v>
      </c>
      <c r="C144" s="110">
        <f>IF(E25="Y",0,1)</f>
        <v>0</v>
      </c>
    </row>
    <row r="145" spans="2:10" hidden="1" x14ac:dyDescent="0.2">
      <c r="B145" s="110" t="s">
        <v>337</v>
      </c>
      <c r="C145" s="110">
        <f>IF(SUM(C133,C137:C144)=0,0,1)</f>
        <v>1</v>
      </c>
    </row>
    <row r="146" spans="2:10" hidden="1" x14ac:dyDescent="0.2">
      <c r="C146" s="88"/>
      <c r="D146" s="88"/>
      <c r="E146" s="88"/>
      <c r="F146" s="88"/>
      <c r="G146" s="88"/>
      <c r="I146" s="88"/>
    </row>
    <row r="147" spans="2:10" hidden="1" x14ac:dyDescent="0.2">
      <c r="B147" s="113" t="s">
        <v>232</v>
      </c>
      <c r="C147" s="114"/>
      <c r="D147" s="114"/>
      <c r="E147" s="114"/>
      <c r="F147" s="114"/>
      <c r="G147" s="114"/>
      <c r="H147" s="114"/>
      <c r="I147" s="114"/>
      <c r="J147" s="114"/>
    </row>
    <row r="148" spans="2:10" hidden="1" x14ac:dyDescent="0.2">
      <c r="B148" s="264" t="str">
        <f>IF(C133=1,"Cwblhewch y tabl i weld amcangyfrifon wedi'u rhannu'n 2 ddeiliadaeth.","")</f>
        <v/>
      </c>
      <c r="C148" s="114" t="str">
        <f>IF($C$133=0,"2018/19","")</f>
        <v>2018/19</v>
      </c>
      <c r="D148" s="114" t="str">
        <f>IF($C$133=0,"2019/20","")</f>
        <v>2019/20</v>
      </c>
      <c r="E148" s="114" t="str">
        <f>IF($C$133=0,"2020/21","")</f>
        <v>2020/21</v>
      </c>
      <c r="F148" s="114" t="str">
        <f>IF($C$133=0,"2021/22","")</f>
        <v>2021/22</v>
      </c>
      <c r="G148" s="114" t="str">
        <f>IF($C$133=0,"2022/23","")</f>
        <v>2022/23</v>
      </c>
      <c r="H148" s="114"/>
      <c r="I148" s="114"/>
      <c r="J148" s="114"/>
    </row>
    <row r="149" spans="2:10" hidden="1" x14ac:dyDescent="0.2">
      <c r="B149" s="114" t="str">
        <f>IF($C$133=0,"Tai'r Farchnad","")</f>
        <v>Tai'r Farchnad</v>
      </c>
      <c r="C149" s="116">
        <f>IF($C$133=0,'Cyfrifiadau - Cymru'!C29,"")</f>
        <v>4475.78</v>
      </c>
      <c r="D149" s="116">
        <f>IF($C$133=0,'Cyfrifiadau - Cymru'!D29,"")</f>
        <v>4248.6499999999996</v>
      </c>
      <c r="E149" s="116">
        <f>IF($C$133=0,'Cyfrifiadau - Cymru'!E29,"")</f>
        <v>4287.6899999999996</v>
      </c>
      <c r="F149" s="116">
        <f>IF($C$133=0,'Cyfrifiadau - Cymru'!F29,"")</f>
        <v>4572.5599999999995</v>
      </c>
      <c r="G149" s="116">
        <f>IF($C$133=0,'Cyfrifiadau - Cymru'!G29,"")</f>
        <v>4413.16</v>
      </c>
      <c r="H149" s="114"/>
      <c r="I149" s="114"/>
      <c r="J149" s="114"/>
    </row>
    <row r="150" spans="2:10" hidden="1" x14ac:dyDescent="0.2">
      <c r="B150" s="114" t="str">
        <f>IF($C$133=0,"Tai Fforddiadwy","")</f>
        <v>Tai Fforddiadwy</v>
      </c>
      <c r="C150" s="116">
        <f>IF($C$133=0,'Cyfrifiadau - Cymru'!C30,"")</f>
        <v>3872.2200000000003</v>
      </c>
      <c r="D150" s="116">
        <f>IF($C$133=0,'Cyfrifiadau - Cymru'!D30,"")</f>
        <v>3845.3500000000004</v>
      </c>
      <c r="E150" s="116">
        <f>IF($C$133=0,'Cyfrifiadau - Cymru'!E30,"")</f>
        <v>3870.3100000000004</v>
      </c>
      <c r="F150" s="116">
        <f>IF($C$133=0,'Cyfrifiadau - Cymru'!F30,"")</f>
        <v>4052.4400000000005</v>
      </c>
      <c r="G150" s="116">
        <f>IF($C$133=0,'Cyfrifiadau - Cymru'!G30,"")</f>
        <v>3833.84</v>
      </c>
      <c r="H150" s="114"/>
      <c r="I150" s="114"/>
      <c r="J150" s="114"/>
    </row>
    <row r="151" spans="2:10" ht="38.25" hidden="1" x14ac:dyDescent="0.2">
      <c r="B151" s="114" t="str">
        <f>IF(C133=1,"Cwblhewch y tabl i weld amcangyfrifon wedi'u rhannu'n 2 ddeiliadaeth.","")</f>
        <v/>
      </c>
      <c r="C151" s="114" t="str">
        <f>IF($C$133=0,"2018/19","")</f>
        <v>2018/19</v>
      </c>
      <c r="D151" s="114" t="str">
        <f>IF($C$133=0,"2019/20","")</f>
        <v>2019/20</v>
      </c>
      <c r="E151" s="114" t="str">
        <f>IF($C$133=0,"2020/21","")</f>
        <v>2020/21</v>
      </c>
      <c r="F151" s="114" t="str">
        <f>IF($C$133=0,"2021/22","")</f>
        <v>2021/22</v>
      </c>
      <c r="G151" s="114" t="str">
        <f>IF($C$133=0,"2022/23","")</f>
        <v>2022/23</v>
      </c>
      <c r="H151" s="114"/>
      <c r="I151" s="264" t="str">
        <f>IF(C133=1,"","Rhaniad Blynyddol Cyfartalog ar draws 5 mlynedd")</f>
        <v>Rhaniad Blynyddol Cyfartalog ar draws 5 mlynedd</v>
      </c>
      <c r="J151" s="114"/>
    </row>
    <row r="152" spans="2:10" hidden="1" x14ac:dyDescent="0.2">
      <c r="B152" s="114" t="str">
        <f>IF($C$133=0,"Tai'r Farchnad","")</f>
        <v>Tai'r Farchnad</v>
      </c>
      <c r="C152" s="117">
        <f>IF($C$133=1,"",C149/SUM(C$149:C$150))</f>
        <v>0.53614997604216574</v>
      </c>
      <c r="D152" s="117">
        <f t="shared" ref="D152:G153" si="7">IF($C$133=1,"",D149/SUM(D$149:D$150))</f>
        <v>0.52491351618482818</v>
      </c>
      <c r="E152" s="117">
        <f t="shared" si="7"/>
        <v>0.52558102476097079</v>
      </c>
      <c r="F152" s="117">
        <f t="shared" si="7"/>
        <v>0.53015188405797098</v>
      </c>
      <c r="G152" s="117">
        <f t="shared" si="7"/>
        <v>0.53512307505759671</v>
      </c>
      <c r="H152" s="114"/>
      <c r="I152" s="117">
        <f>IF($C$133=1,"",SUM(C149:G149)/SUM(C149:G150))</f>
        <v>0.53042631172839505</v>
      </c>
      <c r="J152" s="114"/>
    </row>
    <row r="153" spans="2:10" hidden="1" x14ac:dyDescent="0.2">
      <c r="B153" s="114" t="str">
        <f>IF($C$133=0,"Tai Fforddiadwy","")</f>
        <v>Tai Fforddiadwy</v>
      </c>
      <c r="C153" s="117">
        <f>IF($C$133=1,"",C150/SUM(C$149:C$150))</f>
        <v>0.46385002395783426</v>
      </c>
      <c r="D153" s="117">
        <f t="shared" si="7"/>
        <v>0.47508648381517177</v>
      </c>
      <c r="E153" s="117">
        <f t="shared" si="7"/>
        <v>0.47441897523902921</v>
      </c>
      <c r="F153" s="117">
        <f t="shared" si="7"/>
        <v>0.46984811594202902</v>
      </c>
      <c r="G153" s="117">
        <f t="shared" si="7"/>
        <v>0.46487692494240329</v>
      </c>
      <c r="H153" s="114"/>
      <c r="I153" s="117">
        <f>IF($C$133=1,"",SUM(C150:G150)/SUM(C149:G150))</f>
        <v>0.46957368827160501</v>
      </c>
      <c r="J153" s="114"/>
    </row>
    <row r="154" spans="2:10" hidden="1" x14ac:dyDescent="0.2">
      <c r="C154" s="88"/>
      <c r="D154" s="88"/>
      <c r="E154" s="88"/>
      <c r="F154" s="88"/>
      <c r="G154" s="88"/>
      <c r="I154" s="88"/>
    </row>
    <row r="155" spans="2:10" hidden="1" x14ac:dyDescent="0.2">
      <c r="C155" s="88"/>
      <c r="D155" s="88"/>
      <c r="E155" s="88"/>
      <c r="F155" s="88"/>
      <c r="G155" s="88"/>
      <c r="I155" s="88"/>
    </row>
    <row r="156" spans="2:10" hidden="1" x14ac:dyDescent="0.2">
      <c r="B156" s="109" t="s">
        <v>338</v>
      </c>
      <c r="C156" s="110"/>
      <c r="D156" s="110"/>
      <c r="E156" s="110"/>
      <c r="F156" s="110"/>
      <c r="G156" s="110"/>
      <c r="H156" s="110"/>
      <c r="I156" s="110"/>
      <c r="J156" s="110"/>
    </row>
    <row r="157" spans="2:10" ht="51" hidden="1" x14ac:dyDescent="0.2">
      <c r="B157" s="260" t="str">
        <f>IF(C145=1,"Cwblhewch y tabl i weld amcangyfrifon wedi'u rhannu'n 4 deiliadaeth.","")</f>
        <v>Cwblhewch y tabl i weld amcangyfrifon wedi'u rhannu'n 4 deiliadaeth.</v>
      </c>
      <c r="C157" s="110" t="str">
        <f>IF($C$145=0,"2018/19","")</f>
        <v/>
      </c>
      <c r="D157" s="110" t="str">
        <f>IF($C$145=0,"2019/20","")</f>
        <v/>
      </c>
      <c r="E157" s="110" t="str">
        <f>IF($C$145=0,"2020/21","")</f>
        <v/>
      </c>
      <c r="F157" s="110" t="str">
        <f>IF($C$145=0,"2021/22","")</f>
        <v/>
      </c>
      <c r="G157" s="110" t="str">
        <f>IF($C$145=0,"2022/23","")</f>
        <v/>
      </c>
      <c r="H157" s="110"/>
      <c r="I157" s="110"/>
      <c r="J157" s="110"/>
    </row>
    <row r="158" spans="2:10" hidden="1" x14ac:dyDescent="0.2">
      <c r="B158" s="110" t="str">
        <f>IF($C$145=0,"Perchen-feddiannydd","")</f>
        <v/>
      </c>
      <c r="C158" s="111" t="str">
        <f>IF($C$145=0,'Cyfrifiadau - Cymru'!C59,"")</f>
        <v/>
      </c>
      <c r="D158" s="111" t="str">
        <f>IF($C$145=0,'Cyfrifiadau - Cymru'!D59,"")</f>
        <v/>
      </c>
      <c r="E158" s="111" t="str">
        <f>IF($C$145=0,'Cyfrifiadau - Cymru'!E59,"")</f>
        <v/>
      </c>
      <c r="F158" s="111" t="str">
        <f>IF($C$145=0,'Cyfrifiadau - Cymru'!F59,"")</f>
        <v/>
      </c>
      <c r="G158" s="111" t="str">
        <f>IF($C$145=0,'Cyfrifiadau - Cymru'!G59,"")</f>
        <v/>
      </c>
      <c r="H158" s="110"/>
      <c r="I158" s="110"/>
      <c r="J158" s="110"/>
    </row>
    <row r="159" spans="2:10" hidden="1" x14ac:dyDescent="0.2">
      <c r="B159" s="110" t="str">
        <f>IF($C$145=0,"Y Sector Rhentu Preifat","")</f>
        <v/>
      </c>
      <c r="C159" s="111" t="str">
        <f>IF($C$145=0,'Cyfrifiadau - Cymru'!C60,"")</f>
        <v/>
      </c>
      <c r="D159" s="111" t="str">
        <f>IF($C$145=0,'Cyfrifiadau - Cymru'!D60,"")</f>
        <v/>
      </c>
      <c r="E159" s="111" t="str">
        <f>IF($C$145=0,'Cyfrifiadau - Cymru'!E60,"")</f>
        <v/>
      </c>
      <c r="F159" s="111" t="str">
        <f>IF($C$145=0,'Cyfrifiadau - Cymru'!F60,"")</f>
        <v/>
      </c>
      <c r="G159" s="111" t="str">
        <f>IF($C$145=0,'Cyfrifiadau - Cymru'!G60,"")</f>
        <v/>
      </c>
      <c r="H159" s="110"/>
      <c r="I159" s="110"/>
      <c r="J159" s="110"/>
    </row>
    <row r="160" spans="2:10" hidden="1" x14ac:dyDescent="0.2">
      <c r="B160" s="110" t="str">
        <f>IF($C$145=0,"Cymdeithasol","")</f>
        <v/>
      </c>
      <c r="C160" s="111" t="str">
        <f>IF($C$145=0,'Cyfrifiadau - Cymru'!C61,"")</f>
        <v/>
      </c>
      <c r="D160" s="111" t="str">
        <f>IF($C$145=0,'Cyfrifiadau - Cymru'!D61,"")</f>
        <v/>
      </c>
      <c r="E160" s="111" t="str">
        <f>IF($C$145=0,'Cyfrifiadau - Cymru'!E61,"")</f>
        <v/>
      </c>
      <c r="F160" s="111" t="str">
        <f>IF($C$145=0,'Cyfrifiadau - Cymru'!F61,"")</f>
        <v/>
      </c>
      <c r="G160" s="111" t="str">
        <f>IF($C$145=0,'Cyfrifiadau - Cymru'!G61,"")</f>
        <v/>
      </c>
      <c r="H160" s="110"/>
      <c r="I160" s="110"/>
      <c r="J160" s="110"/>
    </row>
    <row r="161" spans="2:24" hidden="1" x14ac:dyDescent="0.2">
      <c r="B161" s="110" t="str">
        <f>IF($C$145=0,"Canolradd","")</f>
        <v/>
      </c>
      <c r="C161" s="111" t="str">
        <f>IF($C$145=0,'Cyfrifiadau - Cymru'!C62,"")</f>
        <v/>
      </c>
      <c r="D161" s="111" t="str">
        <f>IF($C$145=0,'Cyfrifiadau - Cymru'!D62,"")</f>
        <v/>
      </c>
      <c r="E161" s="111" t="str">
        <f>IF($C$145=0,'Cyfrifiadau - Cymru'!E62,"")</f>
        <v/>
      </c>
      <c r="F161" s="111" t="str">
        <f>IF($C$145=0,'Cyfrifiadau - Cymru'!F62,"")</f>
        <v/>
      </c>
      <c r="G161" s="111" t="str">
        <f>IF($C$145=0,'Cyfrifiadau - Cymru'!G62,"")</f>
        <v/>
      </c>
      <c r="H161" s="110"/>
      <c r="I161" s="110"/>
      <c r="J161" s="110"/>
    </row>
    <row r="162" spans="2:24" ht="51" hidden="1" x14ac:dyDescent="0.2">
      <c r="B162" s="260" t="str">
        <f>IF(C145=1,"Cwblhewch y tabl i weld amcangyfrifon wedi'u rhannu'n 4 deiliadaeth.","")</f>
        <v>Cwblhewch y tabl i weld amcangyfrifon wedi'u rhannu'n 4 deiliadaeth.</v>
      </c>
      <c r="C162" s="110" t="str">
        <f>IF($C$145=0,"2018/19","")</f>
        <v/>
      </c>
      <c r="D162" s="110" t="str">
        <f>IF($C$145=0,"2019/20","")</f>
        <v/>
      </c>
      <c r="E162" s="110" t="str">
        <f>IF($C$145=0,"2020/21","")</f>
        <v/>
      </c>
      <c r="F162" s="110" t="str">
        <f>IF($C$145=0,"2021/22","")</f>
        <v/>
      </c>
      <c r="G162" s="110" t="str">
        <f>IF($C$145=0,"2022/23","")</f>
        <v/>
      </c>
      <c r="H162" s="110"/>
      <c r="I162" s="260" t="str">
        <f>IF(C145=1,"","Rhaniad Blynyddol Cyfartalog ar draws 5 mlynedd")</f>
        <v/>
      </c>
      <c r="J162" s="110"/>
    </row>
    <row r="163" spans="2:24" hidden="1" x14ac:dyDescent="0.2">
      <c r="B163" s="110" t="str">
        <f>IF($C$145=0,"Perchen-feddiannydd","")</f>
        <v/>
      </c>
      <c r="C163" s="112" t="str">
        <f>IF($C$145=1,"",C158/SUM(C$158:C$161))</f>
        <v/>
      </c>
      <c r="D163" s="112" t="str">
        <f t="shared" ref="D163:G163" si="8">IF($C$145=1,"",D158/SUM(D$158:D$161))</f>
        <v/>
      </c>
      <c r="E163" s="112" t="str">
        <f t="shared" si="8"/>
        <v/>
      </c>
      <c r="F163" s="112" t="str">
        <f t="shared" si="8"/>
        <v/>
      </c>
      <c r="G163" s="112" t="str">
        <f t="shared" si="8"/>
        <v/>
      </c>
      <c r="H163" s="110"/>
      <c r="I163" s="112" t="str">
        <f>IF($C$145=1,"",SUM(C158:G158)/SUM($C$158:$G$161))</f>
        <v/>
      </c>
      <c r="J163" s="110"/>
    </row>
    <row r="164" spans="2:24" hidden="1" x14ac:dyDescent="0.2">
      <c r="B164" s="110" t="str">
        <f>IF($C$145=0,"Y Sector Rhentu Preifat","")</f>
        <v/>
      </c>
      <c r="C164" s="112" t="str">
        <f t="shared" ref="C164:G164" si="9">IF($C$145=1,"",C159/SUM(C$158:C$161))</f>
        <v/>
      </c>
      <c r="D164" s="112" t="str">
        <f t="shared" si="9"/>
        <v/>
      </c>
      <c r="E164" s="112" t="str">
        <f t="shared" si="9"/>
        <v/>
      </c>
      <c r="F164" s="112" t="str">
        <f t="shared" si="9"/>
        <v/>
      </c>
      <c r="G164" s="112" t="str">
        <f t="shared" si="9"/>
        <v/>
      </c>
      <c r="H164" s="110"/>
      <c r="I164" s="112" t="str">
        <f t="shared" ref="I164:I166" si="10">IF($C$145=1,"",SUM(C159:G159)/SUM($C$158:$G$161))</f>
        <v/>
      </c>
      <c r="J164" s="110"/>
    </row>
    <row r="165" spans="2:24" hidden="1" x14ac:dyDescent="0.2">
      <c r="B165" s="110" t="str">
        <f>IF($C$145=0,"Rhent Cymdeithasol","")</f>
        <v/>
      </c>
      <c r="C165" s="112" t="str">
        <f t="shared" ref="C165:G166" si="11">IF($C$145=1,"",C160/SUM(C$158:C$161))</f>
        <v/>
      </c>
      <c r="D165" s="112" t="str">
        <f t="shared" si="11"/>
        <v/>
      </c>
      <c r="E165" s="112" t="str">
        <f t="shared" si="11"/>
        <v/>
      </c>
      <c r="F165" s="112" t="str">
        <f t="shared" si="11"/>
        <v/>
      </c>
      <c r="G165" s="112" t="str">
        <f t="shared" si="11"/>
        <v/>
      </c>
      <c r="H165" s="110"/>
      <c r="I165" s="112" t="str">
        <f t="shared" si="10"/>
        <v/>
      </c>
      <c r="J165" s="110"/>
    </row>
    <row r="166" spans="2:24" hidden="1" x14ac:dyDescent="0.2">
      <c r="B166" s="110" t="str">
        <f>IF($C$145=0,"Rhent Canolradd","")</f>
        <v/>
      </c>
      <c r="C166" s="112" t="str">
        <f>IF($C$145=1,"",C161/SUM(C$158:C$161))</f>
        <v/>
      </c>
      <c r="D166" s="112" t="str">
        <f t="shared" si="11"/>
        <v/>
      </c>
      <c r="E166" s="112" t="str">
        <f t="shared" si="11"/>
        <v/>
      </c>
      <c r="F166" s="112" t="str">
        <f t="shared" si="11"/>
        <v/>
      </c>
      <c r="G166" s="112" t="str">
        <f t="shared" si="11"/>
        <v/>
      </c>
      <c r="H166" s="110"/>
      <c r="I166" s="112" t="str">
        <f t="shared" si="10"/>
        <v/>
      </c>
      <c r="J166" s="110"/>
    </row>
    <row r="167" spans="2:24" hidden="1" x14ac:dyDescent="0.2">
      <c r="C167" s="88"/>
      <c r="D167" s="88"/>
      <c r="E167" s="88"/>
      <c r="F167" s="88"/>
      <c r="G167" s="88"/>
      <c r="I167" s="88"/>
    </row>
    <row r="168" spans="2:24" hidden="1" x14ac:dyDescent="0.2">
      <c r="B168" s="72" t="s">
        <v>205</v>
      </c>
      <c r="C168" s="88"/>
      <c r="D168" s="88"/>
      <c r="E168" s="88"/>
      <c r="F168" s="88"/>
      <c r="G168" s="88"/>
      <c r="I168" s="88"/>
    </row>
    <row r="169" spans="2:24" hidden="1" x14ac:dyDescent="0.2">
      <c r="C169" s="88" t="s">
        <v>297</v>
      </c>
      <c r="D169" s="88" t="s">
        <v>214</v>
      </c>
      <c r="E169" s="88" t="s">
        <v>215</v>
      </c>
      <c r="F169" s="88" t="s">
        <v>216</v>
      </c>
      <c r="G169" s="88" t="s">
        <v>250</v>
      </c>
      <c r="H169" s="88" t="s">
        <v>251</v>
      </c>
      <c r="I169" s="88" t="s">
        <v>252</v>
      </c>
      <c r="J169" s="73" t="e">
        <f>". Mae gan brynwyr am y tro cyntaf gymhareb fforddiadwyedd o "&amp;C175&amp;" a gallant brynu eiddo am y tro cyntaf yn ôl  "&amp;C176&amp;" canradd dosbarthiad prisiau tai.. "&amp;C177</f>
        <v>#VALUE!</v>
      </c>
    </row>
    <row r="170" spans="2:24" hidden="1" x14ac:dyDescent="0.2">
      <c r="B170" s="73" t="s">
        <v>206</v>
      </c>
      <c r="C170" s="88" t="str">
        <f>IF(D6="Amcanestyniadau Defnyddwyr","amcanestyniadau'r aelwyd gan y defnyddiwr,",("amcanestyniadau aelwydydd gan Llywodraeth Cymru sy'n seiliedig ar 2014 "&amp;"("&amp;D6&amp;")"))</f>
        <v>amcanestyniadau aelwydydd gan Llywodraeth Cymru sy'n seiliedig ar 2014 (Prif Amcanestyniadau)</v>
      </c>
      <c r="D170" s="88"/>
      <c r="E170" s="88"/>
      <c r="F170" s="88"/>
      <c r="G170" s="88"/>
      <c r="I170" s="88"/>
    </row>
    <row r="171" spans="2:24" ht="15" hidden="1" customHeight="1" x14ac:dyDescent="0.2">
      <c r="B171" s="73" t="s">
        <v>151</v>
      </c>
      <c r="C171" s="89" t="str">
        <f>IF(D7="Amcangyfrifon LlC",'Angen Presennol Nas Diwallwyd'!C12,'Angen Presennol Nas Diwallwyd'!C21)&amp;" aelwydydd o ran angen presennol nas diwallwyd "</f>
        <v xml:space="preserve">5645 aelwydydd o ran angen presennol nas diwallwyd </v>
      </c>
      <c r="D171" s="88"/>
      <c r="E171" s="88"/>
      <c r="F171" s="88"/>
      <c r="G171" s="88"/>
      <c r="J171" s="90"/>
      <c r="K171" s="90"/>
      <c r="L171" s="90"/>
      <c r="M171" s="90"/>
      <c r="N171" s="90"/>
      <c r="O171" s="90"/>
      <c r="P171" s="90"/>
      <c r="R171" s="90"/>
      <c r="S171" s="90"/>
      <c r="T171" s="90"/>
      <c r="U171" s="90"/>
      <c r="V171" s="90"/>
      <c r="W171" s="90"/>
      <c r="X171" s="90"/>
    </row>
    <row r="172" spans="2:24" hidden="1" x14ac:dyDescent="0.2">
      <c r="B172" s="73" t="s">
        <v>207</v>
      </c>
      <c r="C172" s="88" t="str">
        <f>IF(D8="Arall", " amcangyfrifon defnyddwyr "," Ddata Llywodraeth Cymru ")</f>
        <v xml:space="preserve"> Ddata Llywodraeth Cymru </v>
      </c>
      <c r="D172" s="88"/>
      <c r="E172" s="88"/>
      <c r="F172" s="88"/>
      <c r="G172" s="88"/>
      <c r="I172" s="90"/>
      <c r="J172" s="90"/>
      <c r="K172" s="90"/>
      <c r="L172" s="90"/>
      <c r="M172" s="90"/>
      <c r="N172" s="90"/>
      <c r="O172" s="90"/>
      <c r="P172" s="90"/>
      <c r="R172" s="90"/>
      <c r="S172" s="90"/>
      <c r="T172" s="90"/>
      <c r="U172" s="90"/>
      <c r="V172" s="90"/>
      <c r="W172" s="90"/>
      <c r="X172" s="90"/>
    </row>
    <row r="173" spans="2:24" hidden="1" x14ac:dyDescent="0.2">
      <c r="B173" s="73" t="s">
        <v>86</v>
      </c>
      <c r="C173" s="88" t="str">
        <f>IF(D18="Arall", " amcangyfrifon defnyddwyr"," Ddata Cofrestrfa Tir")</f>
        <v xml:space="preserve"> Ddata Cofrestrfa Tir</v>
      </c>
      <c r="D173" s="88"/>
      <c r="E173" s="88"/>
      <c r="F173" s="88"/>
      <c r="G173" s="88"/>
      <c r="I173" s="90"/>
      <c r="J173" s="90"/>
      <c r="K173" s="90"/>
      <c r="L173" s="90"/>
      <c r="M173" s="90"/>
      <c r="N173" s="90"/>
      <c r="O173" s="90"/>
      <c r="P173" s="90"/>
      <c r="R173" s="90"/>
      <c r="S173" s="90"/>
      <c r="T173" s="90"/>
      <c r="U173" s="90"/>
      <c r="V173" s="90"/>
      <c r="W173" s="90"/>
      <c r="X173" s="90"/>
    </row>
    <row r="174" spans="2:24" hidden="1" x14ac:dyDescent="0.2">
      <c r="B174" s="73" t="s">
        <v>33</v>
      </c>
      <c r="C174" s="88" t="str">
        <f>IF(D9="Arall", " amcangyfrifon defnyddwyr"," Ddata Llywodraeth Cymru")</f>
        <v xml:space="preserve"> Ddata Llywodraeth Cymru</v>
      </c>
      <c r="D174" s="88"/>
      <c r="E174" s="88"/>
      <c r="F174" s="88"/>
      <c r="G174" s="88"/>
      <c r="I174" s="90"/>
      <c r="J174" s="90"/>
      <c r="K174" s="90"/>
      <c r="L174" s="90"/>
      <c r="M174" s="90"/>
      <c r="N174" s="90"/>
      <c r="O174" s="90"/>
      <c r="P174" s="90"/>
      <c r="R174" s="90"/>
      <c r="S174" s="90"/>
      <c r="T174" s="90"/>
      <c r="U174" s="90"/>
      <c r="V174" s="90"/>
      <c r="W174" s="90"/>
      <c r="X174" s="90"/>
    </row>
    <row r="175" spans="2:24" hidden="1" x14ac:dyDescent="0.2">
      <c r="B175" s="73" t="s">
        <v>208</v>
      </c>
      <c r="C175" s="91">
        <f>C114</f>
        <v>3.8</v>
      </c>
      <c r="D175" s="88"/>
      <c r="E175" s="88"/>
      <c r="F175" s="88"/>
      <c r="G175" s="88"/>
      <c r="I175" s="90"/>
      <c r="J175" s="90"/>
      <c r="K175" s="90"/>
      <c r="L175" s="90"/>
      <c r="M175" s="90"/>
      <c r="N175" s="90"/>
      <c r="O175" s="90"/>
      <c r="P175" s="90"/>
      <c r="R175" s="90"/>
      <c r="S175" s="90"/>
      <c r="T175" s="90"/>
      <c r="U175" s="90"/>
      <c r="V175" s="90"/>
      <c r="W175" s="90"/>
      <c r="X175" s="90"/>
    </row>
    <row r="176" spans="2:24" hidden="1" x14ac:dyDescent="0.2">
      <c r="B176" s="73" t="s">
        <v>209</v>
      </c>
      <c r="C176" s="91">
        <f>C115</f>
        <v>25</v>
      </c>
      <c r="D176" s="88"/>
      <c r="E176" s="88"/>
      <c r="F176" s="88"/>
      <c r="G176" s="88"/>
      <c r="I176" s="90"/>
      <c r="J176" s="90"/>
      <c r="K176" s="90"/>
      <c r="L176" s="90"/>
      <c r="M176" s="90"/>
      <c r="N176" s="90"/>
      <c r="O176" s="90"/>
      <c r="P176" s="90"/>
      <c r="R176" s="90"/>
      <c r="S176" s="90"/>
      <c r="T176" s="90"/>
      <c r="U176" s="90"/>
      <c r="V176" s="90"/>
      <c r="W176" s="90"/>
      <c r="X176" s="90"/>
    </row>
    <row r="177" spans="2:23" hidden="1" x14ac:dyDescent="0.2">
      <c r="B177" s="73" t="s">
        <v>210</v>
      </c>
      <c r="C177" s="88" t="e">
        <f>C116*100&amp;"% o brynwyr potensial am y tro cyntaf sy'n mynd ymlaen i brynu eiddo. "</f>
        <v>#VALUE!</v>
      </c>
      <c r="D177" s="88"/>
      <c r="E177" s="88"/>
      <c r="F177" s="88"/>
      <c r="G177" s="88"/>
      <c r="I177" s="90"/>
      <c r="J177" s="90"/>
      <c r="K177" s="90"/>
      <c r="L177" s="90"/>
      <c r="M177" s="90"/>
      <c r="N177" s="90"/>
      <c r="O177" s="90"/>
      <c r="P177" s="90"/>
      <c r="R177" s="90"/>
      <c r="S177" s="90"/>
      <c r="T177" s="90"/>
      <c r="U177" s="90"/>
      <c r="V177" s="90"/>
      <c r="W177" s="90"/>
    </row>
    <row r="178" spans="2:23" hidden="1" x14ac:dyDescent="0.2">
      <c r="B178" s="73" t="s">
        <v>211</v>
      </c>
      <c r="C178" s="88" t="str">
        <f>"Gall aelwydydd sy'n gwario "&amp;C108*100&amp;"% o incwm yr aelwyd ar rent preifat canolrifol fforddio rhent preifat,"</f>
        <v>Gall aelwydydd sy'n gwario 30% o incwm yr aelwyd ar rent preifat canolrifol fforddio rhent preifat,</v>
      </c>
      <c r="D178" s="88"/>
      <c r="E178" s="88"/>
      <c r="F178" s="88"/>
      <c r="G178" s="88"/>
      <c r="I178" s="88"/>
    </row>
    <row r="179" spans="2:23" hidden="1" x14ac:dyDescent="0.2">
      <c r="B179" s="73" t="s">
        <v>213</v>
      </c>
      <c r="C179" s="88" t="str">
        <f>"Mae aelwydydd sy'n gwario "&amp;C117*100&amp;"% o incwm yr aelwyd ar rent preifat 30 canradd yn addas ar gyfer dai cymdeithasol."</f>
        <v>Mae aelwydydd sy'n gwario 35% o incwm yr aelwyd ar rent preifat 30 canradd yn addas ar gyfer dai cymdeithasol.</v>
      </c>
      <c r="D179" s="88"/>
      <c r="E179" s="88"/>
      <c r="F179" s="88"/>
      <c r="G179" s="88"/>
      <c r="I179" s="88"/>
    </row>
    <row r="180" spans="2:23" hidden="1" x14ac:dyDescent="0.2">
      <c r="B180" s="73" t="s">
        <v>82</v>
      </c>
      <c r="C180" s="88" t="str">
        <f>" a fydd yn cymryd "&amp;'Angen Presennol Nas Diwallwyd'!C28&amp;" mlynedd i'w diwallu."</f>
        <v xml:space="preserve"> a fydd yn cymryd 5 mlynedd i'w diwallu.</v>
      </c>
      <c r="D180" s="88"/>
      <c r="E180" s="88"/>
      <c r="F180" s="88"/>
      <c r="G180" s="88"/>
      <c r="I180" s="88"/>
    </row>
    <row r="181" spans="2:23" hidden="1" x14ac:dyDescent="0.2">
      <c r="B181" s="73" t="s">
        <v>83</v>
      </c>
      <c r="C181" s="88" t="str">
        <f>". Mae'r newid blynyddol i incwm canolrifol yr aelwyd yn seiliedig ar "&amp;IF(D14="Arall","amcangyfrifon defnyddwyr","amcangyfrifon wedi'u rhagosod")</f>
        <v>. Mae'r newid blynyddol i incwm canolrifol yr aelwyd yn seiliedig ar amcangyfrifon wedi'u rhagosod</v>
      </c>
      <c r="D181" s="88"/>
      <c r="E181" s="88"/>
      <c r="F181" s="88"/>
      <c r="G181" s="88"/>
      <c r="I181" s="88"/>
    </row>
    <row r="182" spans="2:23" hidden="1" x14ac:dyDescent="0.2">
      <c r="B182" s="73" t="s">
        <v>84</v>
      </c>
      <c r="C182" s="88" t="str">
        <f>", mae'r newid blynyddol i ddosbarthiad incwm yr aelwyd yn seiliedig ar "&amp;IF(D15="Arall","amcangyfrifon defnyddwyr","amcangyfrifon wedi'u rhagosod")</f>
        <v>, mae'r newid blynyddol i ddosbarthiad incwm yr aelwyd yn seiliedig ar amcangyfrifon wedi'u rhagosod</v>
      </c>
      <c r="D182" s="88"/>
      <c r="E182" s="88"/>
      <c r="F182" s="88"/>
      <c r="G182" s="88"/>
      <c r="I182" s="88"/>
    </row>
    <row r="183" spans="2:23" hidden="1" x14ac:dyDescent="0.2">
      <c r="B183" s="73" t="s">
        <v>212</v>
      </c>
      <c r="C183" s="88" t="str">
        <f>", mae'r newid blynyddol i brisiau tai yn seiliedig ar "&amp;IF(D25="Arall","amcangyfrifon defnyddwyr","amcangyfrifon wedi'u rhagosod")</f>
        <v>, mae'r newid blynyddol i brisiau tai yn seiliedig ar amcangyfrifon wedi'u rhagosod</v>
      </c>
      <c r="D183" s="88"/>
      <c r="E183" s="88"/>
      <c r="F183" s="88"/>
      <c r="G183" s="88"/>
      <c r="I183" s="88"/>
    </row>
    <row r="184" spans="2:23" hidden="1" x14ac:dyDescent="0.2">
      <c r="B184" s="73" t="s">
        <v>130</v>
      </c>
      <c r="C184" s="88" t="str">
        <f>" ac mae'r newid blynyddol i brisiau rhenti yn seiliedig ar "&amp;IF(D16="Arall","amcangyfrifon y defnyddwyr","amcangyfrifon wedi'u rhagosod.")</f>
        <v xml:space="preserve"> ac mae'r newid blynyddol i brisiau rhenti yn seiliedig ar amcangyfrifon wedi'u rhagosod.</v>
      </c>
      <c r="D184" s="88"/>
      <c r="E184" s="88"/>
      <c r="F184" s="88"/>
      <c r="G184" s="88"/>
      <c r="I184" s="88"/>
    </row>
    <row r="185" spans="2:23" hidden="1" x14ac:dyDescent="0.2">
      <c r="C185" s="88"/>
      <c r="D185" s="88"/>
      <c r="E185" s="88"/>
      <c r="F185" s="88"/>
      <c r="G185" s="88"/>
      <c r="I185" s="88"/>
    </row>
    <row r="186" spans="2:23" hidden="1" x14ac:dyDescent="0.2">
      <c r="B186" s="72" t="s">
        <v>217</v>
      </c>
      <c r="C186" s="88"/>
      <c r="D186" s="88"/>
      <c r="E186" s="88"/>
      <c r="F186" s="88"/>
      <c r="G186" s="88"/>
      <c r="I186" s="88"/>
    </row>
    <row r="187" spans="2:23" hidden="1" x14ac:dyDescent="0.2">
      <c r="B187" s="92" t="str">
        <f>C169&amp;E169&amp;C170&amp;F169&amp;C171&amp;C180&amp;H169&amp;C172&amp;I169&amp;C174&amp;C181&amp;C182&amp;C184</f>
        <v>Mae'r ffigurau isod yn rhannu'r amcangyfrifon o'r angen o ran tai yn ddwy ddeiliadaeth, ac maent wedi'i seilio ar y rhagdybiaethau canlynol. Mae amcangyfrifon sylfaenol yr unedau tai ychwanegol wedi'u seilio ar  amcanestyniadau aelwydydd gan Llywodraeth Cymru sy'n seiliedig ar 2014 (Prif Amcanestyniadau), ac amcangyfrif o 5645 aelwydydd o ran angen presennol nas diwallwyd  a fydd yn cymryd 5 mlynedd i'w diwallu.Mae data ar incwm yn seiliedig ar  Ddata Llywodraeth Cymru ac mae data ar renti preifat yn seiliedig ar  Ddata Llywodraeth Cymru. Mae'r newid blynyddol i incwm canolrifol yr aelwyd yn seiliedig ar amcangyfrifon wedi'u rhagosod, mae'r newid blynyddol i ddosbarthiad incwm yr aelwyd yn seiliedig ar amcangyfrifon wedi'u rhagosod ac mae'r newid blynyddol i brisiau rhenti yn seiliedig ar amcangyfrifon wedi'u rhagosod.</v>
      </c>
      <c r="C187" s="88"/>
      <c r="D187" s="88"/>
      <c r="E187" s="88"/>
      <c r="F187" s="88"/>
      <c r="G187" s="88"/>
      <c r="I187" s="88"/>
    </row>
    <row r="188" spans="2:23" hidden="1" x14ac:dyDescent="0.2">
      <c r="B188" s="72" t="str">
        <f>IF(C133=1,"Ni fydd amcangyfrifon yn ymddangos hyd nes bod y tabl uchod wedi'i gwblhau.",B187)</f>
        <v>Mae'r ffigurau isod yn rhannu'r amcangyfrifon o'r angen o ran tai yn ddwy ddeiliadaeth, ac maent wedi'i seilio ar y rhagdybiaethau canlynol. Mae amcangyfrifon sylfaenol yr unedau tai ychwanegol wedi'u seilio ar  amcanestyniadau aelwydydd gan Llywodraeth Cymru sy'n seiliedig ar 2014 (Prif Amcanestyniadau), ac amcangyfrif o 5645 aelwydydd o ran angen presennol nas diwallwyd  a fydd yn cymryd 5 mlynedd i'w diwallu.Mae data ar incwm yn seiliedig ar  Ddata Llywodraeth Cymru ac mae data ar renti preifat yn seiliedig ar  Ddata Llywodraeth Cymru. Mae'r newid blynyddol i incwm canolrifol yr aelwyd yn seiliedig ar amcangyfrifon wedi'u rhagosod, mae'r newid blynyddol i ddosbarthiad incwm yr aelwyd yn seiliedig ar amcangyfrifon wedi'u rhagosod ac mae'r newid blynyddol i brisiau rhenti yn seiliedig ar amcangyfrifon wedi'u rhagosod.</v>
      </c>
      <c r="C188" s="88"/>
      <c r="D188" s="88"/>
      <c r="E188" s="88"/>
      <c r="F188" s="88"/>
      <c r="G188" s="88"/>
      <c r="I188" s="88"/>
    </row>
    <row r="189" spans="2:23" hidden="1" x14ac:dyDescent="0.2">
      <c r="B189" s="72"/>
      <c r="C189" s="88"/>
      <c r="D189" s="88"/>
      <c r="E189" s="88"/>
      <c r="F189" s="88"/>
      <c r="G189" s="88"/>
      <c r="I189" s="88"/>
    </row>
    <row r="190" spans="2:23" hidden="1" x14ac:dyDescent="0.2">
      <c r="B190" s="72" t="s">
        <v>339</v>
      </c>
      <c r="C190" s="88"/>
      <c r="D190" s="88"/>
      <c r="E190" s="88"/>
      <c r="F190" s="88"/>
      <c r="G190" s="88"/>
      <c r="I190" s="88"/>
    </row>
    <row r="191" spans="2:23" hidden="1" x14ac:dyDescent="0.2">
      <c r="B191" s="73" t="e">
        <f>D169&amp;G169&amp;C173&amp;C183&amp;J169&amp;C179</f>
        <v>#VALUE!</v>
      </c>
      <c r="C191" s="88"/>
      <c r="D191" s="88"/>
      <c r="E191" s="88"/>
      <c r="F191" s="88"/>
      <c r="G191" s="88"/>
      <c r="I191" s="88"/>
    </row>
    <row r="192" spans="2:23" hidden="1" x14ac:dyDescent="0.2">
      <c r="B192" s="72" t="str">
        <f>IF(C145=1,"Ni fydd amcangyfrifon wedi'u rhannu'n 4 deiliadaeth yn ymddangos hyd nes bod y tabl uchod wedi'i gwblhau.",B191)</f>
        <v>Ni fydd amcangyfrifon wedi'u rhannu'n 4 deiliadaeth yn ymddangos hyd nes bod y tabl uchod wedi'i gwblhau.</v>
      </c>
      <c r="C192" s="88"/>
      <c r="D192" s="88"/>
      <c r="E192" s="88"/>
      <c r="F192" s="88"/>
      <c r="G192" s="88"/>
      <c r="I192" s="88"/>
    </row>
    <row r="193" spans="2:9" hidden="1" x14ac:dyDescent="0.2">
      <c r="C193" s="88"/>
      <c r="D193" s="88"/>
      <c r="E193" s="88"/>
      <c r="F193" s="88"/>
      <c r="G193" s="88"/>
      <c r="I193" s="88"/>
    </row>
    <row r="194" spans="2:9" hidden="1" x14ac:dyDescent="0.2">
      <c r="B194" s="73" t="s">
        <v>202</v>
      </c>
      <c r="I194" s="88"/>
    </row>
    <row r="195" spans="2:9" hidden="1" x14ac:dyDescent="0.2">
      <c r="B195" s="73" t="s">
        <v>203</v>
      </c>
      <c r="I195" s="88"/>
    </row>
    <row r="196" spans="2:9" hidden="1" x14ac:dyDescent="0.2">
      <c r="B196" s="73" t="s">
        <v>237</v>
      </c>
      <c r="I196" s="88"/>
    </row>
    <row r="197" spans="2:9" hidden="1" x14ac:dyDescent="0.2">
      <c r="B197" s="73" t="s">
        <v>204</v>
      </c>
      <c r="I197" s="88"/>
    </row>
    <row r="198" spans="2:9" hidden="1" x14ac:dyDescent="0.2">
      <c r="B198" s="75" t="str">
        <f>"'Amcanestyniadau o Aelwyd'"</f>
        <v>'Amcanestyniadau o Aelwyd'</v>
      </c>
      <c r="I198" s="88"/>
    </row>
    <row r="199" spans="2:9" hidden="1" x14ac:dyDescent="0.2">
      <c r="B199" s="73" t="str">
        <f>"'Angen Presennol Nas Diwallwyd'"</f>
        <v>'Angen Presennol Nas Diwallwyd'</v>
      </c>
      <c r="I199" s="88"/>
    </row>
    <row r="200" spans="2:9" hidden="1" x14ac:dyDescent="0.2">
      <c r="B200" s="73" t="str">
        <f>"'Incwm (Cymru)'"</f>
        <v>'Incwm (Cymru)'</v>
      </c>
      <c r="I200" s="88"/>
    </row>
    <row r="201" spans="2:9" hidden="1" x14ac:dyDescent="0.2">
      <c r="B201" s="73" t="str">
        <f>"'Prisiau Tai (Cymru)'"</f>
        <v>'Prisiau Tai (Cymru)'</v>
      </c>
      <c r="I201" s="88"/>
    </row>
    <row r="202" spans="2:9" hidden="1" x14ac:dyDescent="0.2">
      <c r="B202" s="73" t="str">
        <f>"'Prisiau Rhenti'"</f>
        <v>'Prisiau Rhenti'</v>
      </c>
      <c r="I202" s="88"/>
    </row>
    <row r="203" spans="2:9" hidden="1" x14ac:dyDescent="0.2">
      <c r="B203" s="73" t="str">
        <f>"'Rhagdybiaeth Blynyddol'"</f>
        <v>'Rhagdybiaeth Blynyddol'</v>
      </c>
      <c r="I203" s="88"/>
    </row>
    <row r="204" spans="2:9" hidden="1" x14ac:dyDescent="0.2">
      <c r="B204" s="73" t="str">
        <f>"'Rhagolygon y Dyfodol'"</f>
        <v>'Rhagolygon y Dyfodol'</v>
      </c>
      <c r="I204" s="88"/>
    </row>
    <row r="205" spans="2:9" x14ac:dyDescent="0.2">
      <c r="I205" s="88"/>
    </row>
    <row r="206" spans="2:9" x14ac:dyDescent="0.2">
      <c r="I206" s="88"/>
    </row>
    <row r="207" spans="2:9" x14ac:dyDescent="0.2">
      <c r="I207" s="88"/>
    </row>
  </sheetData>
  <sheetProtection sheet="1" objects="1" scenarios="1"/>
  <mergeCells count="30">
    <mergeCell ref="B1:C1"/>
    <mergeCell ref="F25:I25"/>
    <mergeCell ref="B66:J69"/>
    <mergeCell ref="F15:I15"/>
    <mergeCell ref="F16:I16"/>
    <mergeCell ref="F21:I21"/>
    <mergeCell ref="F22:I22"/>
    <mergeCell ref="F23:I23"/>
    <mergeCell ref="F4:I4"/>
    <mergeCell ref="F5:I5"/>
    <mergeCell ref="F6:I6"/>
    <mergeCell ref="F7:I7"/>
    <mergeCell ref="F8:I8"/>
    <mergeCell ref="B52:J53"/>
    <mergeCell ref="I101:J101"/>
    <mergeCell ref="I102:J102"/>
    <mergeCell ref="I103:J103"/>
    <mergeCell ref="I104:J104"/>
    <mergeCell ref="B5:B16"/>
    <mergeCell ref="B17:B25"/>
    <mergeCell ref="I62:J62"/>
    <mergeCell ref="I63:J63"/>
    <mergeCell ref="B28:J32"/>
    <mergeCell ref="F11:I11"/>
    <mergeCell ref="F17:I17"/>
    <mergeCell ref="F12:I12"/>
    <mergeCell ref="F20:I20"/>
    <mergeCell ref="F18:I18"/>
    <mergeCell ref="F9:I9"/>
    <mergeCell ref="F14:I14"/>
  </mergeCells>
  <conditionalFormatting sqref="E6:E9 E11:E12 E14:E16 E25:E27 E18 E20:E23">
    <cfRule type="expression" dxfId="19" priority="4">
      <formula>E6="Y"</formula>
    </cfRule>
  </conditionalFormatting>
  <conditionalFormatting sqref="E6:E12 E14:E16 E18 E20:E27">
    <cfRule type="expression" dxfId="18" priority="3">
      <formula>E6="N"</formula>
    </cfRule>
  </conditionalFormatting>
  <conditionalFormatting sqref="E13">
    <cfRule type="expression" dxfId="17" priority="2">
      <formula>E13="N"</formula>
    </cfRule>
  </conditionalFormatting>
  <conditionalFormatting sqref="E19">
    <cfRule type="expression" dxfId="16" priority="1">
      <formula>E19="N"</formula>
    </cfRule>
  </conditionalFormatting>
  <dataValidations count="10">
    <dataValidation type="list" allowBlank="1" showInputMessage="1" showErrorMessage="1" sqref="D20 D25 D11:D12 D23">
      <formula1>"Wedi'i ragosod, Arall"</formula1>
    </dataValidation>
    <dataValidation type="list" allowBlank="1" showInputMessage="1" showErrorMessage="1" sqref="D21">
      <formula1>"25, 40, Arall"</formula1>
    </dataValidation>
    <dataValidation type="list" allowBlank="1" showInputMessage="1" showErrorMessage="1" sqref="D6">
      <formula1>"Prif Amcanestyniadau, Amrywiolyn uwch, Amrywiolyn is, Amrywiolyn dim ymfudo, Amrywiolyn ymfudo cymedrig deng mlynedd, Amcanestyniadau Defnyddwyr"</formula1>
    </dataValidation>
    <dataValidation type="list" allowBlank="1" showInputMessage="1" showErrorMessage="1" sqref="D8">
      <formula1>"Amcangyfrifon LlC, Arall"</formula1>
    </dataValidation>
    <dataValidation type="list" allowBlank="1" showInputMessage="1" showErrorMessage="1" sqref="D18">
      <formula1>"Data Cofrestrfa Tir, Arall"</formula1>
    </dataValidation>
    <dataValidation type="list" allowBlank="1" showInputMessage="1" showErrorMessage="1" sqref="D9">
      <formula1>"Data LlC ar Renti, Arall"</formula1>
    </dataValidation>
    <dataValidation type="list" allowBlank="1" showInputMessage="1" showErrorMessage="1" sqref="D15">
      <formula1>"Mwy o Anghydraddoldeb, Dim newid, Arall"</formula1>
    </dataValidation>
    <dataValidation type="list" allowBlank="1" showInputMessage="1" showErrorMessage="1" sqref="D14">
      <formula1>"Wedi'i ragosod, Arall"</formula1>
    </dataValidation>
    <dataValidation type="list" allowBlank="1" showInputMessage="1" showErrorMessage="1" sqref="D7">
      <formula1>"Amcangyfrifon LlC, Arall"</formula1>
    </dataValidation>
    <dataValidation type="list" allowBlank="1" showInputMessage="1" showErrorMessage="1" sqref="D16">
      <formula1>"Wedi'i ragosod, Arall"</formula1>
    </dataValidation>
  </dataValidations>
  <pageMargins left="0.7" right="0.7" top="0.75" bottom="0.75" header="0.3" footer="0.3"/>
  <pageSetup paperSize="9" scale="14" orientation="portrait"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pageSetUpPr fitToPage="1"/>
  </sheetPr>
  <dimension ref="A1:X207"/>
  <sheetViews>
    <sheetView showGridLines="0" zoomScale="90" zoomScaleNormal="90" workbookViewId="0"/>
  </sheetViews>
  <sheetFormatPr defaultColWidth="9.140625" defaultRowHeight="12.75" x14ac:dyDescent="0.2"/>
  <cols>
    <col min="1" max="1" width="4.5703125" style="73" customWidth="1"/>
    <col min="2" max="2" width="17.85546875" style="73" customWidth="1"/>
    <col min="3" max="3" width="42" style="73" customWidth="1"/>
    <col min="4" max="4" width="20.5703125" style="73" customWidth="1"/>
    <col min="5" max="5" width="18.42578125" style="73" customWidth="1"/>
    <col min="6" max="6" width="15.5703125" style="73" customWidth="1"/>
    <col min="7" max="7" width="12.85546875" style="73" customWidth="1"/>
    <col min="8" max="9" width="13" style="73" customWidth="1"/>
    <col min="10" max="10" width="14.85546875" style="73" customWidth="1"/>
    <col min="11" max="14" width="13" style="73" customWidth="1"/>
    <col min="15" max="16384" width="9.140625" style="73"/>
  </cols>
  <sheetData>
    <row r="1" spans="1:11" ht="26.25" customHeight="1" x14ac:dyDescent="0.2">
      <c r="B1" s="368" t="s">
        <v>116</v>
      </c>
      <c r="C1" s="368"/>
      <c r="D1" s="101" t="s">
        <v>120</v>
      </c>
    </row>
    <row r="2" spans="1:11" ht="27" customHeight="1" x14ac:dyDescent="0.2">
      <c r="B2" s="378" t="s">
        <v>123</v>
      </c>
      <c r="C2" s="379"/>
      <c r="D2" s="379"/>
      <c r="E2" s="379"/>
      <c r="F2" s="379"/>
      <c r="G2" s="379"/>
      <c r="H2" s="379"/>
      <c r="I2" s="380"/>
    </row>
    <row r="4" spans="1:11" ht="30.75" customHeight="1" x14ac:dyDescent="0.25">
      <c r="C4" s="93" t="s">
        <v>74</v>
      </c>
      <c r="D4" s="100" t="s">
        <v>118</v>
      </c>
      <c r="E4" s="253" t="s">
        <v>233</v>
      </c>
      <c r="F4" s="362" t="s">
        <v>119</v>
      </c>
      <c r="G4" s="362"/>
      <c r="H4" s="362"/>
      <c r="I4" s="363"/>
      <c r="K4" s="70" t="s">
        <v>200</v>
      </c>
    </row>
    <row r="5" spans="1:11" ht="24.75" customHeight="1" x14ac:dyDescent="0.2">
      <c r="B5" s="354" t="s">
        <v>263</v>
      </c>
      <c r="C5" s="124" t="s">
        <v>78</v>
      </c>
      <c r="D5" s="125"/>
      <c r="E5" s="126"/>
      <c r="F5" s="375"/>
      <c r="G5" s="375"/>
      <c r="H5" s="375"/>
      <c r="I5" s="376"/>
    </row>
    <row r="6" spans="1:11" ht="23.25" customHeight="1" x14ac:dyDescent="0.2">
      <c r="A6" s="104"/>
      <c r="B6" s="355"/>
      <c r="C6" s="127" t="s">
        <v>133</v>
      </c>
      <c r="D6" s="128" t="str">
        <f>'Rhaniad y Ddeiliadaeth (Cymru)'!D6</f>
        <v>Prif Amcanestyniadau</v>
      </c>
      <c r="E6" s="129" t="str">
        <f>IF(OR(F6=$B$195,F6=$B$196),"Y","N")</f>
        <v>Y</v>
      </c>
      <c r="F6" s="364" t="str">
        <f>IF(D6="",B194,IF(D6="Arall",IF('Amcanestyniadau o Aelwyd'!J23&lt;6,B197&amp;B198,B196),B195))</f>
        <v>Defnyddiwyd Data Wedi'i Ragosod</v>
      </c>
      <c r="G6" s="364"/>
      <c r="H6" s="364"/>
      <c r="I6" s="361"/>
    </row>
    <row r="7" spans="1:11" ht="15" customHeight="1" x14ac:dyDescent="0.2">
      <c r="A7" s="104"/>
      <c r="B7" s="355"/>
      <c r="C7" s="127" t="s">
        <v>126</v>
      </c>
      <c r="D7" s="128" t="str">
        <f>'Rhaniad y Ddeiliadaeth (Cymru)'!D7</f>
        <v>Amcangyfrifon LlC</v>
      </c>
      <c r="E7" s="129" t="str">
        <f>IF(OR(F7=$B$195,F7=$B$196),"Y","N")</f>
        <v>Y</v>
      </c>
      <c r="F7" s="361" t="str">
        <f>IF(D7="",B194,IF(D7="Arall",IF(ISBLANK('Angen Presennol Nas Diwallwyd'!C18),'Rhaniad y Ddeiliadaeth (Gog)'!B197&amp;'Rhaniad y Ddeiliadaeth (Gog)'!B199,'Rhaniad y Ddeiliadaeth (Gog)'!B196),'Rhaniad y Ddeiliadaeth (Gog)'!B195))</f>
        <v>Defnyddiwyd Data Wedi'i Ragosod</v>
      </c>
      <c r="G7" s="361"/>
      <c r="H7" s="361"/>
      <c r="I7" s="361"/>
    </row>
    <row r="8" spans="1:11" ht="15" customHeight="1" x14ac:dyDescent="0.2">
      <c r="A8" s="104"/>
      <c r="B8" s="355"/>
      <c r="C8" s="127" t="s">
        <v>79</v>
      </c>
      <c r="D8" s="128" t="str">
        <f>'Rhaniad y Ddeiliadaeth (Cymru)'!D8</f>
        <v>Amcangyfrifon LlC</v>
      </c>
      <c r="E8" s="129" t="str">
        <f>IF(OR(F8=$B$195,F8=$B$196),"Y","N")</f>
        <v>Y</v>
      </c>
      <c r="F8" s="361" t="str">
        <f>IF(D8="",B194,IF(D8="Arall",IF('Incwm (Gogledd)'!N85=0,B196,B197&amp;B200),B195))</f>
        <v>Defnyddiwyd Data Wedi'i Ragosod</v>
      </c>
      <c r="G8" s="361"/>
      <c r="H8" s="361"/>
      <c r="I8" s="361"/>
    </row>
    <row r="9" spans="1:11" ht="15" customHeight="1" x14ac:dyDescent="0.2">
      <c r="A9" s="104"/>
      <c r="B9" s="355"/>
      <c r="C9" s="127" t="s">
        <v>80</v>
      </c>
      <c r="D9" s="128" t="str">
        <f>'Rhaniad y Ddeiliadaeth (Cymru)'!D9</f>
        <v>Data LlC ar Renti</v>
      </c>
      <c r="E9" s="129" t="str">
        <f>IF(OR(F9=$B$195,F9=$B$196),"Y","N")</f>
        <v>Y</v>
      </c>
      <c r="F9" s="364" t="str">
        <f>IF(D9="",B194,IF(D9="Arall",IF(OR(ISBLANK('Prisiau Rhenti'!C15),ISBLANK('Prisiau Rhenti'!D15)),'Rhaniad y Ddeiliadaeth (Gog)'!B197&amp;'Rhaniad y Ddeiliadaeth (Gog)'!B202,'Rhaniad y Ddeiliadaeth (Gog)'!B196),'Rhaniad y Ddeiliadaeth (Gog)'!B195))</f>
        <v>Defnyddiwyd Data Wedi'i Ragosod</v>
      </c>
      <c r="G9" s="364"/>
      <c r="H9" s="364"/>
      <c r="I9" s="361"/>
    </row>
    <row r="10" spans="1:11" ht="24.75" customHeight="1" x14ac:dyDescent="0.2">
      <c r="A10" s="104"/>
      <c r="B10" s="355"/>
      <c r="C10" s="124" t="s">
        <v>124</v>
      </c>
      <c r="D10" s="125"/>
      <c r="E10" s="130"/>
      <c r="F10" s="125"/>
      <c r="G10" s="131"/>
      <c r="H10" s="125"/>
      <c r="I10" s="132"/>
    </row>
    <row r="11" spans="1:11" ht="13.5" customHeight="1" x14ac:dyDescent="0.2">
      <c r="A11" s="104"/>
      <c r="B11" s="355"/>
      <c r="C11" s="133" t="s">
        <v>81</v>
      </c>
      <c r="D11" s="134" t="str">
        <f>'Rhaniad y Ddeiliadaeth (Cymru)'!D11</f>
        <v>Wedi'i ragosod</v>
      </c>
      <c r="E11" s="129" t="str">
        <f>IF(OR(F11=$B$195,F11=$B$196),"Y","N")</f>
        <v>Y</v>
      </c>
      <c r="F11" s="361" t="str">
        <f>'Rhaniad y Ddeiliadaeth (Cymru)'!F11:I11</f>
        <v>Defnyddiwyd Data Wedi'i Ragosod</v>
      </c>
      <c r="G11" s="361"/>
      <c r="H11" s="361"/>
      <c r="I11" s="361"/>
    </row>
    <row r="12" spans="1:11" ht="15" customHeight="1" x14ac:dyDescent="0.2">
      <c r="A12" s="104"/>
      <c r="B12" s="355"/>
      <c r="C12" s="133" t="s">
        <v>128</v>
      </c>
      <c r="D12" s="134" t="str">
        <f>'Rhaniad y Ddeiliadaeth (Cymru)'!D12</f>
        <v>Wedi'i ragosod</v>
      </c>
      <c r="E12" s="129" t="str">
        <f>IF(OR(F12=$B$195,F12=$B$196),"Y","N")</f>
        <v>Y</v>
      </c>
      <c r="F12" s="364" t="str">
        <f>'Rhaniad y Ddeiliadaeth (Cymru)'!F12:I12</f>
        <v>Defnyddiwyd Data Wedi'i Ragosod</v>
      </c>
      <c r="G12" s="364"/>
      <c r="H12" s="364"/>
      <c r="I12" s="361"/>
    </row>
    <row r="13" spans="1:11" ht="24.75" customHeight="1" x14ac:dyDescent="0.2">
      <c r="A13" s="104"/>
      <c r="B13" s="355"/>
      <c r="C13" s="124" t="s">
        <v>125</v>
      </c>
      <c r="D13" s="125"/>
      <c r="E13" s="130"/>
      <c r="F13" s="125"/>
      <c r="G13" s="131"/>
      <c r="H13" s="125"/>
      <c r="I13" s="132"/>
    </row>
    <row r="14" spans="1:11" ht="29.25" customHeight="1" x14ac:dyDescent="0.2">
      <c r="A14" s="104"/>
      <c r="B14" s="355"/>
      <c r="C14" s="135" t="s">
        <v>83</v>
      </c>
      <c r="D14" s="134" t="str">
        <f>'Rhaniad y Ddeiliadaeth (Cymru)'!D14</f>
        <v>Wedi'i ragosod</v>
      </c>
      <c r="E14" s="129" t="str">
        <f>IF(OR(F14=$B$195,F14=$B$196),"Y","N")</f>
        <v>Y</v>
      </c>
      <c r="F14" s="364" t="str">
        <f>'Rhaniad y Ddeiliadaeth (Cymru)'!F14:I14</f>
        <v>Defnyddiwyd Data Wedi'i Ragosod</v>
      </c>
      <c r="G14" s="364"/>
      <c r="H14" s="364"/>
      <c r="I14" s="361"/>
    </row>
    <row r="15" spans="1:11" ht="29.25" customHeight="1" x14ac:dyDescent="0.2">
      <c r="A15" s="104"/>
      <c r="B15" s="355"/>
      <c r="C15" s="135" t="s">
        <v>129</v>
      </c>
      <c r="D15" s="128" t="str">
        <f>'Rhaniad y Ddeiliadaeth (Cymru)'!D15</f>
        <v>Mwy o Anghydraddoldeb</v>
      </c>
      <c r="E15" s="129" t="str">
        <f>IF(OR(F15=$B$195,F15=$B$196),"Y","N")</f>
        <v>Y</v>
      </c>
      <c r="F15" s="364" t="str">
        <f>'Rhaniad y Ddeiliadaeth (Cymru)'!F15:I15</f>
        <v>Defnyddiwyd Data Wedi'i Ragosod</v>
      </c>
      <c r="G15" s="364"/>
      <c r="H15" s="364"/>
      <c r="I15" s="361"/>
    </row>
    <row r="16" spans="1:11" ht="17.25" customHeight="1" x14ac:dyDescent="0.2">
      <c r="A16" s="104"/>
      <c r="B16" s="356"/>
      <c r="C16" s="136" t="s">
        <v>130</v>
      </c>
      <c r="D16" s="134" t="str">
        <f>'Rhaniad y Ddeiliadaeth (Cymru)'!D16</f>
        <v>Wedi'i ragosod</v>
      </c>
      <c r="E16" s="137" t="str">
        <f>IF(OR(F16=$B$195,F16=$B$196),"Y","N")</f>
        <v>Y</v>
      </c>
      <c r="F16" s="364" t="str">
        <f>'Rhaniad y Ddeiliadaeth (Cymru)'!F16:I16</f>
        <v>Defnyddiwyd Data Wedi'i Ragosod</v>
      </c>
      <c r="G16" s="364"/>
      <c r="H16" s="364"/>
      <c r="I16" s="361"/>
    </row>
    <row r="17" spans="1:11" ht="24.75" customHeight="1" x14ac:dyDescent="0.2">
      <c r="A17" s="104"/>
      <c r="B17" s="357" t="s">
        <v>264</v>
      </c>
      <c r="C17" s="105" t="s">
        <v>323</v>
      </c>
      <c r="D17" s="106"/>
      <c r="E17" s="120"/>
      <c r="F17" s="381"/>
      <c r="G17" s="381"/>
      <c r="H17" s="381"/>
      <c r="I17" s="382"/>
    </row>
    <row r="18" spans="1:11" ht="31.5" customHeight="1" x14ac:dyDescent="0.2">
      <c r="A18" s="104"/>
      <c r="B18" s="358"/>
      <c r="C18" s="95" t="s">
        <v>86</v>
      </c>
      <c r="D18" s="118" t="str">
        <f>'Rhaniad y Ddeiliadaeth (Cymru)'!D18</f>
        <v>Data Cofrestrfa Tir</v>
      </c>
      <c r="E18" s="119" t="str">
        <f>IF(OR(F18=$B$195,F18=$B$196),"Y","N")</f>
        <v>Y</v>
      </c>
      <c r="F18" s="367" t="str">
        <f>IF(D18="",B194,IF(D18="Arall",IF('Prisiau Tai (Gogledd)'!N85=1,B197&amp;B201,B196),B195))</f>
        <v>Defnyddiwyd Data Wedi'i Ragosod</v>
      </c>
      <c r="G18" s="367"/>
      <c r="H18" s="367"/>
      <c r="I18" s="367"/>
    </row>
    <row r="19" spans="1:11" ht="24.75" customHeight="1" x14ac:dyDescent="0.2">
      <c r="A19" s="104"/>
      <c r="B19" s="358"/>
      <c r="C19" s="94" t="s">
        <v>324</v>
      </c>
      <c r="D19" s="96"/>
      <c r="E19" s="121"/>
      <c r="F19" s="96"/>
      <c r="G19" s="97"/>
      <c r="H19" s="96"/>
      <c r="I19" s="98"/>
    </row>
    <row r="20" spans="1:11" ht="13.5" customHeight="1" x14ac:dyDescent="0.2">
      <c r="A20" s="104"/>
      <c r="B20" s="358"/>
      <c r="C20" s="256" t="s">
        <v>88</v>
      </c>
      <c r="D20" s="118" t="str">
        <f>'Rhaniad y Ddeiliadaeth (Cymru)'!D20</f>
        <v>Wedi'i ragosod</v>
      </c>
      <c r="E20" s="119" t="str">
        <f>IF(OR(F20=$B$195,F20=$B$196),"Y","N")</f>
        <v>Y</v>
      </c>
      <c r="F20" s="367" t="str">
        <f>'Rhaniad y Ddeiliadaeth (Cymru)'!F20:I20</f>
        <v>Defnyddiwyd Data Wedi'i Ragosod</v>
      </c>
      <c r="G20" s="367"/>
      <c r="H20" s="367"/>
      <c r="I20" s="367"/>
    </row>
    <row r="21" spans="1:11" ht="32.25" customHeight="1" x14ac:dyDescent="0.2">
      <c r="A21" s="104"/>
      <c r="B21" s="358"/>
      <c r="C21" s="257" t="s">
        <v>89</v>
      </c>
      <c r="D21" s="118">
        <f>'Rhaniad y Ddeiliadaeth (Cymru)'!D21</f>
        <v>25</v>
      </c>
      <c r="E21" s="119" t="str">
        <f>IF(OR(F21=$B$195,F21=$B$196),"Y","N")</f>
        <v>Y</v>
      </c>
      <c r="F21" s="367" t="str">
        <f>'Rhaniad y Ddeiliadaeth (Cymru)'!F21:I21</f>
        <v>Defnyddiwyd Data Wedi'i Ragosod</v>
      </c>
      <c r="G21" s="367"/>
      <c r="H21" s="367"/>
      <c r="I21" s="367"/>
    </row>
    <row r="22" spans="1:11" ht="40.5" customHeight="1" x14ac:dyDescent="0.2">
      <c r="A22" s="104"/>
      <c r="B22" s="358"/>
      <c r="C22" s="257" t="s">
        <v>131</v>
      </c>
      <c r="D22" s="258" t="str">
        <f>'Rhaniad y Ddeiliadaeth (Cymru)'!D22</f>
        <v>Gwerth defnyddiwr (nid oes gwerth wedi'i ragosod)</v>
      </c>
      <c r="E22" s="119" t="str">
        <f>IF(OR(F22=$B$195,F22=$B$196),"Y","N")</f>
        <v>N</v>
      </c>
      <c r="F22" s="367" t="str">
        <f>'Rhaniad y Ddeiliadaeth (Cymru)'!F22:I22</f>
        <v>Rhowch ddata'r defnyddiwr ar y daflen:'Rhagdybiaeth Blynyddol'</v>
      </c>
      <c r="G22" s="367"/>
      <c r="H22" s="367"/>
      <c r="I22" s="367"/>
    </row>
    <row r="23" spans="1:11" ht="27" customHeight="1" x14ac:dyDescent="0.2">
      <c r="A23" s="104"/>
      <c r="B23" s="358"/>
      <c r="C23" s="256" t="s">
        <v>90</v>
      </c>
      <c r="D23" s="118" t="str">
        <f>'Rhaniad y Ddeiliadaeth (Cymru)'!D23</f>
        <v>Wedi'i ragosod</v>
      </c>
      <c r="E23" s="119" t="str">
        <f>IF(OR(F23=$B$195,F23=$B$196),"Y","N")</f>
        <v>Y</v>
      </c>
      <c r="F23" s="367" t="str">
        <f>'Rhaniad y Ddeiliadaeth (Cymru)'!F23:I23</f>
        <v>Defnyddiwyd Data Wedi'i Ragosod</v>
      </c>
      <c r="G23" s="367"/>
      <c r="H23" s="367"/>
      <c r="I23" s="367"/>
    </row>
    <row r="24" spans="1:11" ht="24.75" customHeight="1" x14ac:dyDescent="0.2">
      <c r="A24" s="104"/>
      <c r="B24" s="358"/>
      <c r="C24" s="94" t="s">
        <v>325</v>
      </c>
      <c r="D24" s="96"/>
      <c r="E24" s="121"/>
      <c r="F24" s="96"/>
      <c r="G24" s="97"/>
      <c r="H24" s="96"/>
      <c r="I24" s="98"/>
    </row>
    <row r="25" spans="1:11" ht="25.5" customHeight="1" x14ac:dyDescent="0.2">
      <c r="A25" s="104"/>
      <c r="B25" s="359"/>
      <c r="C25" s="300" t="s">
        <v>212</v>
      </c>
      <c r="D25" s="120" t="str">
        <f>'Rhaniad y Ddeiliadaeth (Cymru)'!D25</f>
        <v>Wedi'i ragosod</v>
      </c>
      <c r="E25" s="121" t="str">
        <f>IF(OR(F25=$B$195,F25=$B$196),"Y","N")</f>
        <v>Y</v>
      </c>
      <c r="F25" s="370" t="str">
        <f>'Rhaniad y Ddeiliadaeth (Cymru)'!F25:I25</f>
        <v>Defnyddiwyd Data Wedi'i Ragosod</v>
      </c>
      <c r="G25" s="370"/>
      <c r="H25" s="370"/>
      <c r="I25" s="370"/>
    </row>
    <row r="26" spans="1:11" ht="15" customHeight="1" x14ac:dyDescent="0.2">
      <c r="C26" s="76"/>
      <c r="D26" s="77"/>
      <c r="E26" s="74"/>
      <c r="F26" s="78"/>
      <c r="G26" s="78"/>
      <c r="H26" s="78"/>
      <c r="I26" s="78"/>
    </row>
    <row r="27" spans="1:11" ht="15" customHeight="1" x14ac:dyDescent="0.2">
      <c r="B27" s="79" t="str">
        <f>IF(C133=1,"","Sylwadau ar y rhagdybiaethau a ddewiswyd ar gyfer rhaniad o ddwy ddeiliadaeth: "&amp;D1)</f>
        <v>Sylwadau ar y rhagdybiaethau a ddewiswyd ar gyfer rhaniad o ddwy ddeiliadaeth: Gogledd Cymru</v>
      </c>
      <c r="D27" s="77"/>
      <c r="E27" s="74"/>
      <c r="F27" s="78"/>
      <c r="G27" s="78"/>
      <c r="H27" s="78"/>
      <c r="I27" s="78"/>
    </row>
    <row r="28" spans="1:11" ht="15" customHeight="1" x14ac:dyDescent="0.2">
      <c r="B28" s="360" t="str">
        <f>B188</f>
        <v>Mae'r ffigurau isod yn rhannu'r amcangyfrifon o'r angen o ran tai yn Gogledd Cymru yn ddwy ddeiliadaeth, ac maent wedi'i seilio ar y rhagdybiaethau canlynol.Mae amcangyfrifon sylfaenol yr unedau tai ychwanegol wedi'u seilio ar  amcanestyniadau aelwydydd gan Llywodraeth Cymru sy'n seiliedig ar 2014 (Prif Amcanestyniadau), ac amcangyfrif o 5645 aelwydydd o ran angen presennol nas diwallwyd  a fydd yn cymryd 5 mlynedd i'w diwallu.Mae data ar incwm yn seiliedig ar  Ddata Llywodraeth Cymru ac mae data ar renti preifat yn seiliedig ar  Ddata Llywodraeth Cymru. Mae'r newid blynyddol i incwm canolrifol yr aelwyd yn seiliedig ar amcangyfrifon wedi'u rhagosod, mae'r newid blynyddol i ddosbarthiad incwm yr aelwyd yn seiliedig ar amcangyfrifon wedi'u rhagosod ac mae'r newid blynyddol i brisiau rhenti yn seiliedig ar amcangyfrifon wedi'u rhagosod.</v>
      </c>
      <c r="C28" s="360"/>
      <c r="D28" s="360"/>
      <c r="E28" s="360"/>
      <c r="F28" s="360"/>
      <c r="G28" s="360"/>
      <c r="H28" s="360"/>
      <c r="I28" s="360"/>
      <c r="J28" s="360"/>
      <c r="K28" s="107"/>
    </row>
    <row r="29" spans="1:11" ht="15" customHeight="1" x14ac:dyDescent="0.2">
      <c r="B29" s="360"/>
      <c r="C29" s="360"/>
      <c r="D29" s="360"/>
      <c r="E29" s="360"/>
      <c r="F29" s="360"/>
      <c r="G29" s="360"/>
      <c r="H29" s="360"/>
      <c r="I29" s="360"/>
      <c r="J29" s="360"/>
      <c r="K29" s="107"/>
    </row>
    <row r="30" spans="1:11" ht="15" customHeight="1" x14ac:dyDescent="0.2">
      <c r="B30" s="360"/>
      <c r="C30" s="360"/>
      <c r="D30" s="360"/>
      <c r="E30" s="360"/>
      <c r="F30" s="360"/>
      <c r="G30" s="360"/>
      <c r="H30" s="360"/>
      <c r="I30" s="360"/>
      <c r="J30" s="360"/>
      <c r="K30" s="107"/>
    </row>
    <row r="31" spans="1:11" ht="15" customHeight="1" x14ac:dyDescent="0.2">
      <c r="B31" s="360"/>
      <c r="C31" s="360"/>
      <c r="D31" s="360"/>
      <c r="E31" s="360"/>
      <c r="F31" s="360"/>
      <c r="G31" s="360"/>
      <c r="H31" s="360"/>
      <c r="I31" s="360"/>
      <c r="J31" s="360"/>
      <c r="K31" s="107"/>
    </row>
    <row r="32" spans="1:11" ht="15" customHeight="1" x14ac:dyDescent="0.2">
      <c r="B32" s="360"/>
      <c r="C32" s="360"/>
      <c r="D32" s="360"/>
      <c r="E32" s="360"/>
      <c r="F32" s="360"/>
      <c r="G32" s="360"/>
      <c r="H32" s="360"/>
      <c r="I32" s="360"/>
      <c r="J32" s="360"/>
      <c r="K32" s="107"/>
    </row>
    <row r="33" spans="2:11" ht="15" customHeight="1" x14ac:dyDescent="0.2">
      <c r="B33" s="108"/>
      <c r="C33" s="71"/>
      <c r="D33" s="71"/>
      <c r="E33" s="71"/>
      <c r="F33" s="71"/>
      <c r="G33" s="71"/>
      <c r="H33" s="71"/>
      <c r="I33" s="71"/>
      <c r="J33" s="71"/>
      <c r="K33" s="107"/>
    </row>
    <row r="34" spans="2:11" ht="15" customHeight="1" x14ac:dyDescent="0.2">
      <c r="B34" s="108"/>
      <c r="C34" s="71"/>
      <c r="D34" s="71"/>
      <c r="E34" s="71"/>
      <c r="F34" s="71"/>
      <c r="G34" s="71"/>
      <c r="H34" s="71"/>
      <c r="I34" s="71"/>
      <c r="J34" s="71"/>
      <c r="K34" s="107"/>
    </row>
    <row r="35" spans="2:11" ht="15" customHeight="1" x14ac:dyDescent="0.2">
      <c r="B35" s="108"/>
      <c r="C35" s="71"/>
      <c r="D35" s="71"/>
      <c r="E35" s="71"/>
      <c r="F35" s="71"/>
      <c r="G35" s="71"/>
      <c r="H35" s="71"/>
      <c r="I35" s="71"/>
      <c r="J35" s="71"/>
      <c r="K35" s="107"/>
    </row>
    <row r="36" spans="2:11" ht="15" customHeight="1" x14ac:dyDescent="0.2">
      <c r="B36" s="108"/>
      <c r="C36" s="71"/>
      <c r="D36" s="71"/>
      <c r="E36" s="71"/>
      <c r="F36" s="71"/>
      <c r="G36" s="71"/>
      <c r="H36" s="71"/>
      <c r="I36" s="71"/>
      <c r="J36" s="71"/>
      <c r="K36" s="107"/>
    </row>
    <row r="37" spans="2:11" ht="15" customHeight="1" x14ac:dyDescent="0.2">
      <c r="B37" s="108"/>
      <c r="C37" s="71"/>
      <c r="D37" s="71"/>
      <c r="E37" s="71"/>
      <c r="F37" s="71"/>
      <c r="G37" s="71"/>
      <c r="H37" s="71"/>
      <c r="I37" s="71"/>
      <c r="J37" s="71"/>
      <c r="K37" s="107"/>
    </row>
    <row r="38" spans="2:11" ht="15" customHeight="1" x14ac:dyDescent="0.2">
      <c r="B38" s="71"/>
      <c r="C38" s="71"/>
      <c r="D38" s="71"/>
      <c r="E38" s="71"/>
      <c r="F38" s="71"/>
      <c r="G38" s="71"/>
      <c r="H38" s="71"/>
      <c r="I38" s="71"/>
      <c r="J38" s="71"/>
      <c r="K38" s="107"/>
    </row>
    <row r="39" spans="2:11" ht="15" customHeight="1" x14ac:dyDescent="0.2">
      <c r="B39" s="71"/>
      <c r="C39" s="71"/>
      <c r="D39" s="71"/>
      <c r="E39" s="71"/>
      <c r="F39" s="71"/>
      <c r="G39" s="71"/>
      <c r="H39" s="71"/>
      <c r="I39" s="71"/>
      <c r="J39" s="71"/>
      <c r="K39" s="107"/>
    </row>
    <row r="40" spans="2:11" ht="15" customHeight="1" x14ac:dyDescent="0.2">
      <c r="B40" s="71"/>
      <c r="C40" s="71"/>
      <c r="D40" s="71"/>
      <c r="E40" s="71"/>
      <c r="F40" s="71"/>
      <c r="G40" s="71"/>
      <c r="H40" s="71"/>
      <c r="I40" s="71"/>
      <c r="J40" s="71"/>
      <c r="K40" s="107"/>
    </row>
    <row r="41" spans="2:11" ht="15" customHeight="1" x14ac:dyDescent="0.2">
      <c r="B41" s="71"/>
      <c r="C41" s="71"/>
      <c r="D41" s="71"/>
      <c r="E41" s="71"/>
      <c r="F41" s="71"/>
      <c r="G41" s="71"/>
      <c r="H41" s="71"/>
      <c r="I41" s="71"/>
      <c r="J41" s="71"/>
      <c r="K41" s="107"/>
    </row>
    <row r="42" spans="2:11" ht="15" customHeight="1" x14ac:dyDescent="0.2">
      <c r="B42" s="71"/>
      <c r="C42" s="71"/>
      <c r="D42" s="71"/>
      <c r="E42" s="71"/>
      <c r="F42" s="71"/>
      <c r="G42" s="71"/>
      <c r="H42" s="71"/>
      <c r="I42" s="71"/>
      <c r="J42" s="71"/>
      <c r="K42" s="107"/>
    </row>
    <row r="43" spans="2:11" ht="15" customHeight="1" x14ac:dyDescent="0.2">
      <c r="B43" s="71"/>
      <c r="C43" s="71"/>
      <c r="D43" s="71"/>
      <c r="E43" s="71"/>
      <c r="F43" s="71"/>
      <c r="G43" s="71"/>
      <c r="H43" s="71"/>
      <c r="I43" s="71"/>
      <c r="J43" s="71"/>
      <c r="K43" s="107"/>
    </row>
    <row r="44" spans="2:11" ht="15" customHeight="1" x14ac:dyDescent="0.2">
      <c r="B44" s="71"/>
      <c r="C44" s="71"/>
      <c r="D44" s="71"/>
      <c r="E44" s="71"/>
      <c r="F44" s="71"/>
      <c r="G44" s="71"/>
      <c r="H44" s="71"/>
      <c r="I44" s="71"/>
      <c r="J44" s="71"/>
      <c r="K44" s="107"/>
    </row>
    <row r="45" spans="2:11" ht="15" customHeight="1" x14ac:dyDescent="0.2">
      <c r="B45" s="71"/>
      <c r="C45" s="71"/>
      <c r="D45" s="71"/>
      <c r="E45" s="71"/>
      <c r="F45" s="71"/>
      <c r="G45" s="71"/>
      <c r="H45" s="71"/>
      <c r="I45" s="71"/>
      <c r="J45" s="71"/>
      <c r="K45" s="107"/>
    </row>
    <row r="46" spans="2:11" ht="15" customHeight="1" x14ac:dyDescent="0.2">
      <c r="B46" s="71"/>
      <c r="C46" s="71"/>
      <c r="D46" s="71"/>
      <c r="E46" s="71"/>
      <c r="F46" s="71"/>
      <c r="G46" s="71"/>
      <c r="H46" s="71"/>
      <c r="I46" s="71"/>
      <c r="J46" s="71"/>
      <c r="K46" s="107"/>
    </row>
    <row r="47" spans="2:11" ht="15" customHeight="1" x14ac:dyDescent="0.2">
      <c r="B47" s="71"/>
      <c r="C47" s="71"/>
      <c r="D47" s="71"/>
      <c r="E47" s="71"/>
      <c r="F47" s="71"/>
      <c r="G47" s="71"/>
      <c r="H47" s="71"/>
      <c r="I47" s="71"/>
      <c r="J47" s="71"/>
      <c r="K47" s="107"/>
    </row>
    <row r="48" spans="2:11" ht="15" customHeight="1" x14ac:dyDescent="0.2">
      <c r="B48" s="71"/>
      <c r="C48" s="71"/>
      <c r="D48" s="71"/>
      <c r="E48" s="71"/>
      <c r="F48" s="71"/>
      <c r="G48" s="71"/>
      <c r="H48" s="71"/>
      <c r="I48" s="71"/>
      <c r="J48" s="71"/>
      <c r="K48" s="107"/>
    </row>
    <row r="49" spans="2:11" ht="15" customHeight="1" x14ac:dyDescent="0.2">
      <c r="B49" s="71"/>
      <c r="C49" s="71"/>
      <c r="D49" s="71"/>
      <c r="E49" s="71"/>
      <c r="F49" s="71"/>
      <c r="G49" s="71"/>
      <c r="H49" s="71"/>
      <c r="I49" s="71"/>
      <c r="J49" s="71"/>
      <c r="K49" s="107"/>
    </row>
    <row r="50" spans="2:11" ht="15" customHeight="1" x14ac:dyDescent="0.2">
      <c r="B50" s="71"/>
      <c r="C50" s="71"/>
      <c r="D50" s="71"/>
      <c r="E50" s="71"/>
      <c r="F50" s="71"/>
      <c r="G50" s="71"/>
      <c r="H50" s="71"/>
      <c r="I50" s="71"/>
      <c r="J50" s="71"/>
      <c r="K50" s="107"/>
    </row>
    <row r="51" spans="2:11" ht="15" customHeight="1" x14ac:dyDescent="0.2">
      <c r="B51" s="71"/>
      <c r="C51" s="71"/>
      <c r="D51" s="71"/>
      <c r="E51" s="71"/>
      <c r="F51" s="71"/>
      <c r="G51" s="71"/>
      <c r="H51" s="71"/>
      <c r="I51" s="71"/>
      <c r="J51" s="71"/>
      <c r="K51" s="107"/>
    </row>
    <row r="52" spans="2:11" ht="15" customHeight="1" x14ac:dyDescent="0.2">
      <c r="B52" s="377" t="s">
        <v>287</v>
      </c>
      <c r="C52" s="347"/>
      <c r="D52" s="347"/>
      <c r="E52" s="347"/>
      <c r="F52" s="347"/>
      <c r="G52" s="347"/>
      <c r="H52" s="347"/>
      <c r="I52" s="347"/>
      <c r="J52" s="348"/>
      <c r="K52" s="107"/>
    </row>
    <row r="53" spans="2:11" ht="15" customHeight="1" x14ac:dyDescent="0.2">
      <c r="B53" s="349"/>
      <c r="C53" s="350"/>
      <c r="D53" s="350"/>
      <c r="E53" s="350"/>
      <c r="F53" s="350"/>
      <c r="G53" s="350"/>
      <c r="H53" s="350"/>
      <c r="I53" s="350"/>
      <c r="J53" s="351"/>
      <c r="K53" s="107"/>
    </row>
    <row r="54" spans="2:11" ht="15" customHeight="1" x14ac:dyDescent="0.2">
      <c r="B54" s="241"/>
      <c r="C54" s="241"/>
      <c r="D54" s="241"/>
      <c r="E54" s="241"/>
      <c r="F54" s="241"/>
      <c r="G54" s="241"/>
      <c r="H54" s="241"/>
      <c r="I54" s="241"/>
      <c r="J54" s="241"/>
      <c r="K54" s="107"/>
    </row>
    <row r="55" spans="2:11" ht="15" customHeight="1" x14ac:dyDescent="0.2">
      <c r="B55" s="83" t="s">
        <v>242</v>
      </c>
      <c r="C55" s="84"/>
      <c r="D55" s="84"/>
      <c r="E55" s="84"/>
      <c r="F55" s="84"/>
      <c r="G55" s="84"/>
      <c r="K55" s="107"/>
    </row>
    <row r="56" spans="2:11" ht="30.75" customHeight="1" x14ac:dyDescent="0.2">
      <c r="B56" s="268" t="str">
        <f>B148</f>
        <v/>
      </c>
      <c r="C56" s="145" t="str">
        <f t="shared" ref="C56:G56" si="0">C148</f>
        <v>2018/19</v>
      </c>
      <c r="D56" s="145" t="str">
        <f t="shared" si="0"/>
        <v>2019/20</v>
      </c>
      <c r="E56" s="145" t="str">
        <f t="shared" si="0"/>
        <v>2020/21</v>
      </c>
      <c r="F56" s="145" t="str">
        <f t="shared" si="0"/>
        <v>2021/22</v>
      </c>
      <c r="G56" s="145" t="str">
        <f t="shared" si="0"/>
        <v>2022/23</v>
      </c>
      <c r="K56" s="107"/>
    </row>
    <row r="57" spans="2:11" ht="15" customHeight="1" x14ac:dyDescent="0.2">
      <c r="B57" s="144" t="str">
        <f t="shared" ref="B57:G58" si="1">B149</f>
        <v>Tai'r Farchnad</v>
      </c>
      <c r="C57" s="146">
        <f t="shared" si="1"/>
        <v>814.79</v>
      </c>
      <c r="D57" s="146">
        <f t="shared" si="1"/>
        <v>758.06</v>
      </c>
      <c r="E57" s="146">
        <f t="shared" si="1"/>
        <v>754</v>
      </c>
      <c r="F57" s="146">
        <f t="shared" si="1"/>
        <v>816.56</v>
      </c>
      <c r="G57" s="146">
        <f t="shared" si="1"/>
        <v>771.13</v>
      </c>
      <c r="K57" s="107"/>
    </row>
    <row r="58" spans="2:11" ht="15" customHeight="1" x14ac:dyDescent="0.2">
      <c r="B58" s="144" t="str">
        <f t="shared" si="1"/>
        <v>Tai Fforddiadwy</v>
      </c>
      <c r="C58" s="146">
        <f t="shared" si="1"/>
        <v>814.61000000000013</v>
      </c>
      <c r="D58" s="146">
        <f t="shared" si="1"/>
        <v>797.34000000000015</v>
      </c>
      <c r="E58" s="146">
        <f t="shared" si="1"/>
        <v>794.40000000000009</v>
      </c>
      <c r="F58" s="146">
        <f t="shared" si="1"/>
        <v>815.84000000000015</v>
      </c>
      <c r="G58" s="146">
        <f t="shared" si="1"/>
        <v>784.2700000000001</v>
      </c>
      <c r="K58" s="107"/>
    </row>
    <row r="59" spans="2:11" ht="15" customHeight="1" x14ac:dyDescent="0.2">
      <c r="K59" s="107"/>
    </row>
    <row r="60" spans="2:11" ht="15" customHeight="1" x14ac:dyDescent="0.2">
      <c r="B60" s="72" t="s">
        <v>245</v>
      </c>
      <c r="K60" s="107"/>
    </row>
    <row r="61" spans="2:11" ht="15" customHeight="1" x14ac:dyDescent="0.2">
      <c r="B61" s="110" t="str">
        <f>B151</f>
        <v/>
      </c>
      <c r="C61" s="147" t="str">
        <f t="shared" ref="C61:G63" si="2">C151</f>
        <v>2018/19</v>
      </c>
      <c r="D61" s="147" t="str">
        <f t="shared" si="2"/>
        <v>2019/20</v>
      </c>
      <c r="E61" s="147" t="str">
        <f t="shared" si="2"/>
        <v>2020/21</v>
      </c>
      <c r="F61" s="147" t="str">
        <f t="shared" si="2"/>
        <v>2021/22</v>
      </c>
      <c r="G61" s="147" t="str">
        <f t="shared" si="2"/>
        <v>2022/23</v>
      </c>
      <c r="I61" s="149" t="str">
        <f>I151</f>
        <v>Rhaniad Blynyddol Cyfartalog ar draws 5 mlynedd</v>
      </c>
      <c r="J61" s="149"/>
      <c r="K61" s="107"/>
    </row>
    <row r="62" spans="2:11" ht="15" customHeight="1" x14ac:dyDescent="0.2">
      <c r="B62" s="110" t="str">
        <f>B152</f>
        <v>Tai'r Farchnad</v>
      </c>
      <c r="C62" s="148">
        <f>C152</f>
        <v>0.5000552350558487</v>
      </c>
      <c r="D62" s="148">
        <f t="shared" si="2"/>
        <v>0.4873730230165873</v>
      </c>
      <c r="E62" s="148">
        <f t="shared" si="2"/>
        <v>0.48695427538103847</v>
      </c>
      <c r="F62" s="148">
        <f t="shared" si="2"/>
        <v>0.50022053418279833</v>
      </c>
      <c r="G62" s="148">
        <f t="shared" si="2"/>
        <v>0.49577600617204576</v>
      </c>
      <c r="I62" s="353">
        <f>I152</f>
        <v>0.49419770231031435</v>
      </c>
      <c r="J62" s="353"/>
      <c r="K62" s="107"/>
    </row>
    <row r="63" spans="2:11" ht="15" customHeight="1" x14ac:dyDescent="0.2">
      <c r="B63" s="110" t="str">
        <f t="shared" ref="B63" si="3">B153</f>
        <v>Tai Fforddiadwy</v>
      </c>
      <c r="C63" s="148">
        <f>C153</f>
        <v>0.4999447649441513</v>
      </c>
      <c r="D63" s="148">
        <f t="shared" si="2"/>
        <v>0.51262697698341264</v>
      </c>
      <c r="E63" s="148">
        <f t="shared" si="2"/>
        <v>0.51304572461896158</v>
      </c>
      <c r="F63" s="148">
        <f t="shared" si="2"/>
        <v>0.49977946581720173</v>
      </c>
      <c r="G63" s="148">
        <f t="shared" si="2"/>
        <v>0.50422399382795424</v>
      </c>
      <c r="I63" s="353">
        <f>I153</f>
        <v>0.50580229768968565</v>
      </c>
      <c r="J63" s="353"/>
      <c r="K63" s="107"/>
    </row>
    <row r="64" spans="2:11" ht="15" customHeight="1" x14ac:dyDescent="0.2">
      <c r="B64" s="108"/>
      <c r="C64" s="71"/>
      <c r="D64" s="71"/>
      <c r="E64" s="71"/>
      <c r="F64" s="71"/>
      <c r="G64" s="71"/>
      <c r="H64" s="71"/>
      <c r="I64" s="71"/>
      <c r="J64" s="71"/>
      <c r="K64" s="107"/>
    </row>
    <row r="65" spans="2:11" ht="15" customHeight="1" x14ac:dyDescent="0.2">
      <c r="B65" s="79" t="str">
        <f>IF(C145=1,"","Sylwadau ar y rhagdybiaethau a ddewiswyd ar gyfer rhaniad o bediar deiliadaeth")</f>
        <v/>
      </c>
      <c r="C65" s="71"/>
      <c r="D65" s="71"/>
      <c r="E65" s="71"/>
      <c r="F65" s="71"/>
      <c r="G65" s="71"/>
      <c r="H65" s="71"/>
      <c r="I65" s="71"/>
      <c r="J65" s="71"/>
      <c r="K65" s="107"/>
    </row>
    <row r="66" spans="2:11" ht="15" customHeight="1" x14ac:dyDescent="0.2">
      <c r="B66" s="360" t="str">
        <f>B192</f>
        <v>Ni fydd amcangyfrifon rhaniad 4 deiliadaeth yn ymddangos hyd nes bod y tabl uchod wedi'i gwblhau.</v>
      </c>
      <c r="C66" s="360"/>
      <c r="D66" s="360"/>
      <c r="E66" s="360"/>
      <c r="F66" s="360"/>
      <c r="G66" s="360"/>
      <c r="H66" s="360"/>
      <c r="I66" s="360"/>
      <c r="J66" s="360"/>
      <c r="K66" s="107"/>
    </row>
    <row r="67" spans="2:11" ht="15" customHeight="1" x14ac:dyDescent="0.2">
      <c r="B67" s="360"/>
      <c r="C67" s="360"/>
      <c r="D67" s="360"/>
      <c r="E67" s="360"/>
      <c r="F67" s="360"/>
      <c r="G67" s="360"/>
      <c r="H67" s="360"/>
      <c r="I67" s="360"/>
      <c r="J67" s="360"/>
      <c r="K67" s="107"/>
    </row>
    <row r="68" spans="2:11" ht="15" customHeight="1" x14ac:dyDescent="0.2">
      <c r="B68" s="360"/>
      <c r="C68" s="360"/>
      <c r="D68" s="360"/>
      <c r="E68" s="360"/>
      <c r="F68" s="360"/>
      <c r="G68" s="360"/>
      <c r="H68" s="360"/>
      <c r="I68" s="360"/>
      <c r="J68" s="360"/>
      <c r="K68" s="107"/>
    </row>
    <row r="69" spans="2:11" ht="15" customHeight="1" x14ac:dyDescent="0.2">
      <c r="B69" s="360"/>
      <c r="C69" s="360"/>
      <c r="D69" s="360"/>
      <c r="E69" s="360"/>
      <c r="F69" s="360"/>
      <c r="G69" s="360"/>
      <c r="H69" s="360"/>
      <c r="I69" s="360"/>
      <c r="J69" s="360"/>
      <c r="K69" s="107"/>
    </row>
    <row r="70" spans="2:11" ht="15" customHeight="1" x14ac:dyDescent="0.2">
      <c r="C70" s="76"/>
      <c r="D70" s="80"/>
      <c r="F70" s="81"/>
      <c r="G70" s="82"/>
    </row>
    <row r="71" spans="2:11" ht="15" customHeight="1" x14ac:dyDescent="0.2">
      <c r="C71" s="76"/>
      <c r="D71" s="80"/>
      <c r="E71" s="82"/>
      <c r="F71" s="81"/>
      <c r="G71" s="82"/>
    </row>
    <row r="72" spans="2:11" ht="15" customHeight="1" x14ac:dyDescent="0.2">
      <c r="C72" s="76"/>
      <c r="D72" s="80"/>
      <c r="E72" s="82"/>
      <c r="F72" s="81"/>
      <c r="G72" s="82"/>
    </row>
    <row r="73" spans="2:11" ht="15" customHeight="1" x14ac:dyDescent="0.2">
      <c r="C73" s="76"/>
      <c r="D73" s="80"/>
      <c r="E73" s="82"/>
      <c r="F73" s="81"/>
      <c r="G73" s="82"/>
    </row>
    <row r="74" spans="2:11" ht="15" customHeight="1" x14ac:dyDescent="0.2">
      <c r="C74" s="76"/>
      <c r="D74" s="80"/>
      <c r="E74" s="82"/>
      <c r="F74" s="81"/>
      <c r="G74" s="82"/>
    </row>
    <row r="75" spans="2:11" ht="15" customHeight="1" x14ac:dyDescent="0.2">
      <c r="C75" s="76"/>
      <c r="D75" s="80"/>
      <c r="E75" s="82"/>
      <c r="F75" s="81"/>
      <c r="G75" s="82"/>
    </row>
    <row r="76" spans="2:11" ht="15" customHeight="1" x14ac:dyDescent="0.2">
      <c r="C76" s="76"/>
      <c r="D76" s="80"/>
      <c r="E76" s="82"/>
      <c r="F76" s="81"/>
      <c r="G76" s="82"/>
    </row>
    <row r="77" spans="2:11" ht="15" customHeight="1" x14ac:dyDescent="0.2">
      <c r="C77" s="76"/>
      <c r="D77" s="80"/>
      <c r="E77" s="82"/>
      <c r="F77" s="81"/>
      <c r="G77" s="82"/>
    </row>
    <row r="78" spans="2:11" ht="15" customHeight="1" x14ac:dyDescent="0.2">
      <c r="C78" s="76"/>
      <c r="D78" s="80"/>
      <c r="E78" s="82"/>
      <c r="F78" s="81"/>
      <c r="G78" s="82"/>
    </row>
    <row r="79" spans="2:11" ht="15" customHeight="1" x14ac:dyDescent="0.2">
      <c r="C79" s="76"/>
      <c r="D79" s="80"/>
      <c r="E79" s="82"/>
      <c r="F79" s="81"/>
      <c r="G79" s="82"/>
    </row>
    <row r="80" spans="2:11" ht="15" customHeight="1" x14ac:dyDescent="0.2">
      <c r="C80" s="76"/>
      <c r="D80" s="80"/>
      <c r="E80" s="82"/>
      <c r="F80" s="81"/>
      <c r="G80" s="82"/>
    </row>
    <row r="81" spans="2:7" ht="15" customHeight="1" x14ac:dyDescent="0.2">
      <c r="C81" s="76"/>
      <c r="D81" s="80"/>
      <c r="E81" s="82"/>
      <c r="F81" s="81"/>
      <c r="G81" s="82"/>
    </row>
    <row r="82" spans="2:7" ht="15" customHeight="1" x14ac:dyDescent="0.2">
      <c r="C82" s="76"/>
      <c r="D82" s="80"/>
      <c r="E82" s="82"/>
      <c r="F82" s="81"/>
      <c r="G82" s="82"/>
    </row>
    <row r="83" spans="2:7" ht="15" customHeight="1" x14ac:dyDescent="0.2">
      <c r="C83" s="76"/>
      <c r="D83" s="80"/>
      <c r="E83" s="82"/>
      <c r="F83" s="81"/>
      <c r="G83" s="82"/>
    </row>
    <row r="84" spans="2:7" ht="15" customHeight="1" x14ac:dyDescent="0.2">
      <c r="C84" s="76"/>
      <c r="D84" s="80"/>
      <c r="E84" s="82"/>
      <c r="F84" s="81"/>
      <c r="G84" s="82"/>
    </row>
    <row r="85" spans="2:7" ht="15" customHeight="1" x14ac:dyDescent="0.2">
      <c r="C85" s="76"/>
      <c r="D85" s="80"/>
      <c r="E85" s="82"/>
      <c r="F85" s="81"/>
      <c r="G85" s="82"/>
    </row>
    <row r="86" spans="2:7" ht="15" customHeight="1" x14ac:dyDescent="0.2">
      <c r="C86" s="76"/>
      <c r="D86" s="80"/>
      <c r="E86" s="82"/>
      <c r="F86" s="81"/>
      <c r="G86" s="82"/>
    </row>
    <row r="87" spans="2:7" ht="15" customHeight="1" x14ac:dyDescent="0.2">
      <c r="C87" s="76"/>
      <c r="D87" s="80"/>
      <c r="E87" s="82"/>
      <c r="F87" s="81"/>
      <c r="G87" s="82"/>
    </row>
    <row r="88" spans="2:7" ht="15" customHeight="1" x14ac:dyDescent="0.2">
      <c r="C88" s="76"/>
      <c r="D88" s="80"/>
      <c r="E88" s="82"/>
      <c r="F88" s="81"/>
      <c r="G88" s="82"/>
    </row>
    <row r="89" spans="2:7" ht="15" customHeight="1" x14ac:dyDescent="0.2">
      <c r="C89" s="76"/>
      <c r="D89" s="80"/>
      <c r="E89" s="82"/>
      <c r="F89" s="81"/>
      <c r="G89" s="82"/>
    </row>
    <row r="90" spans="2:7" ht="15" customHeight="1" x14ac:dyDescent="0.2">
      <c r="B90" s="83" t="s">
        <v>334</v>
      </c>
      <c r="C90" s="84"/>
      <c r="D90" s="84"/>
      <c r="E90" s="84"/>
      <c r="F90" s="84"/>
      <c r="G90" s="84"/>
    </row>
    <row r="91" spans="2:7" ht="15" customHeight="1" x14ac:dyDescent="0.2">
      <c r="B91" s="150" t="str">
        <f>B157</f>
        <v>Cwblhewch y tabl i weld amcangyfrifon wedi'u rhannu'n 4 deiliadaeth.</v>
      </c>
      <c r="C91" s="110"/>
      <c r="D91" s="110"/>
      <c r="E91" s="110"/>
      <c r="F91" s="110"/>
      <c r="G91" s="110"/>
    </row>
    <row r="92" spans="2:7" ht="15" customHeight="1" x14ac:dyDescent="0.2">
      <c r="B92" s="150"/>
      <c r="C92" s="145" t="str">
        <f t="shared" ref="C92:G96" si="4">C157</f>
        <v/>
      </c>
      <c r="D92" s="145" t="str">
        <f t="shared" si="4"/>
        <v/>
      </c>
      <c r="E92" s="145" t="str">
        <f t="shared" si="4"/>
        <v/>
      </c>
      <c r="F92" s="145" t="str">
        <f t="shared" si="4"/>
        <v/>
      </c>
      <c r="G92" s="145" t="str">
        <f t="shared" si="4"/>
        <v/>
      </c>
    </row>
    <row r="93" spans="2:7" ht="15" customHeight="1" x14ac:dyDescent="0.2">
      <c r="B93" s="144" t="str">
        <f>B158</f>
        <v/>
      </c>
      <c r="C93" s="151" t="str">
        <f t="shared" si="4"/>
        <v/>
      </c>
      <c r="D93" s="146" t="str">
        <f t="shared" si="4"/>
        <v/>
      </c>
      <c r="E93" s="146" t="str">
        <f t="shared" si="4"/>
        <v/>
      </c>
      <c r="F93" s="146" t="str">
        <f t="shared" si="4"/>
        <v/>
      </c>
      <c r="G93" s="146" t="str">
        <f t="shared" si="4"/>
        <v/>
      </c>
    </row>
    <row r="94" spans="2:7" ht="15" customHeight="1" x14ac:dyDescent="0.2">
      <c r="B94" s="144" t="str">
        <f>B159</f>
        <v/>
      </c>
      <c r="C94" s="146" t="str">
        <f t="shared" si="4"/>
        <v/>
      </c>
      <c r="D94" s="146" t="str">
        <f t="shared" si="4"/>
        <v/>
      </c>
      <c r="E94" s="146" t="str">
        <f t="shared" si="4"/>
        <v/>
      </c>
      <c r="F94" s="146" t="str">
        <f t="shared" si="4"/>
        <v/>
      </c>
      <c r="G94" s="146" t="str">
        <f t="shared" si="4"/>
        <v/>
      </c>
    </row>
    <row r="95" spans="2:7" ht="15" customHeight="1" x14ac:dyDescent="0.2">
      <c r="B95" s="146" t="str">
        <f>B160</f>
        <v/>
      </c>
      <c r="C95" s="146" t="str">
        <f t="shared" si="4"/>
        <v/>
      </c>
      <c r="D95" s="146" t="str">
        <f t="shared" si="4"/>
        <v/>
      </c>
      <c r="E95" s="146" t="str">
        <f t="shared" si="4"/>
        <v/>
      </c>
      <c r="F95" s="146" t="str">
        <f t="shared" si="4"/>
        <v/>
      </c>
      <c r="G95" s="146" t="str">
        <f t="shared" si="4"/>
        <v/>
      </c>
    </row>
    <row r="96" spans="2:7" ht="15" customHeight="1" x14ac:dyDescent="0.2">
      <c r="B96" s="146" t="str">
        <f>B161</f>
        <v/>
      </c>
      <c r="C96" s="146" t="str">
        <f t="shared" si="4"/>
        <v/>
      </c>
      <c r="D96" s="146" t="str">
        <f t="shared" si="4"/>
        <v/>
      </c>
      <c r="E96" s="146" t="str">
        <f t="shared" si="4"/>
        <v/>
      </c>
      <c r="F96" s="146" t="str">
        <f t="shared" si="4"/>
        <v/>
      </c>
      <c r="G96" s="146" t="str">
        <f t="shared" si="4"/>
        <v/>
      </c>
    </row>
    <row r="97" spans="2:20" ht="15" customHeight="1" x14ac:dyDescent="0.2"/>
    <row r="98" spans="2:20" ht="15" customHeight="1" x14ac:dyDescent="0.2">
      <c r="B98" s="72" t="s">
        <v>335</v>
      </c>
    </row>
    <row r="99" spans="2:20" ht="15" customHeight="1" x14ac:dyDescent="0.2">
      <c r="B99" s="110" t="str">
        <f>B162</f>
        <v>Cwblhewch y tabl i weld amcangyfrifon wedi'u rhannu'n 4 deiliadaeth.</v>
      </c>
      <c r="C99" s="110"/>
      <c r="D99" s="110"/>
      <c r="E99" s="110"/>
      <c r="F99" s="110"/>
      <c r="G99" s="110"/>
      <c r="I99" s="383" t="str">
        <f>I162</f>
        <v/>
      </c>
      <c r="J99" s="383"/>
    </row>
    <row r="100" spans="2:20" ht="15" customHeight="1" x14ac:dyDescent="0.2">
      <c r="B100" s="110"/>
      <c r="C100" s="147" t="str">
        <f t="shared" ref="C100:G104" si="5">C162</f>
        <v/>
      </c>
      <c r="D100" s="147" t="str">
        <f t="shared" si="5"/>
        <v/>
      </c>
      <c r="E100" s="147" t="str">
        <f t="shared" si="5"/>
        <v/>
      </c>
      <c r="F100" s="147" t="str">
        <f t="shared" si="5"/>
        <v/>
      </c>
      <c r="G100" s="147" t="str">
        <f t="shared" si="5"/>
        <v/>
      </c>
      <c r="I100" s="149"/>
      <c r="J100" s="149"/>
    </row>
    <row r="101" spans="2:20" ht="15" customHeight="1" x14ac:dyDescent="0.2">
      <c r="B101" s="110" t="str">
        <f>B163</f>
        <v/>
      </c>
      <c r="C101" s="148" t="str">
        <f t="shared" si="5"/>
        <v/>
      </c>
      <c r="D101" s="148" t="str">
        <f t="shared" si="5"/>
        <v/>
      </c>
      <c r="E101" s="148" t="str">
        <f t="shared" si="5"/>
        <v/>
      </c>
      <c r="F101" s="148" t="str">
        <f t="shared" si="5"/>
        <v/>
      </c>
      <c r="G101" s="148" t="str">
        <f t="shared" si="5"/>
        <v/>
      </c>
      <c r="I101" s="353" t="str">
        <f>I163</f>
        <v/>
      </c>
      <c r="J101" s="353"/>
    </row>
    <row r="102" spans="2:20" ht="15" customHeight="1" x14ac:dyDescent="0.2">
      <c r="B102" s="110" t="str">
        <f>B164</f>
        <v/>
      </c>
      <c r="C102" s="148" t="str">
        <f t="shared" si="5"/>
        <v/>
      </c>
      <c r="D102" s="148" t="str">
        <f t="shared" si="5"/>
        <v/>
      </c>
      <c r="E102" s="148" t="str">
        <f t="shared" si="5"/>
        <v/>
      </c>
      <c r="F102" s="148" t="str">
        <f t="shared" si="5"/>
        <v/>
      </c>
      <c r="G102" s="148" t="str">
        <f t="shared" si="5"/>
        <v/>
      </c>
      <c r="I102" s="353" t="str">
        <f>I164</f>
        <v/>
      </c>
      <c r="J102" s="353"/>
    </row>
    <row r="103" spans="2:20" ht="14.25" customHeight="1" x14ac:dyDescent="0.2">
      <c r="B103" s="110" t="str">
        <f>B165</f>
        <v/>
      </c>
      <c r="C103" s="148" t="str">
        <f t="shared" si="5"/>
        <v/>
      </c>
      <c r="D103" s="148" t="str">
        <f t="shared" si="5"/>
        <v/>
      </c>
      <c r="E103" s="148" t="str">
        <f t="shared" si="5"/>
        <v/>
      </c>
      <c r="F103" s="148" t="str">
        <f t="shared" si="5"/>
        <v/>
      </c>
      <c r="G103" s="148" t="str">
        <f t="shared" si="5"/>
        <v/>
      </c>
      <c r="I103" s="353" t="str">
        <f>I165</f>
        <v/>
      </c>
      <c r="J103" s="353"/>
    </row>
    <row r="104" spans="2:20" ht="14.25" customHeight="1" x14ac:dyDescent="0.2">
      <c r="B104" s="110" t="str">
        <f>B166</f>
        <v/>
      </c>
      <c r="C104" s="148" t="str">
        <f t="shared" si="5"/>
        <v/>
      </c>
      <c r="D104" s="148" t="str">
        <f t="shared" si="5"/>
        <v/>
      </c>
      <c r="E104" s="148" t="str">
        <f t="shared" si="5"/>
        <v/>
      </c>
      <c r="F104" s="148" t="str">
        <f t="shared" si="5"/>
        <v/>
      </c>
      <c r="G104" s="148" t="str">
        <f t="shared" si="5"/>
        <v/>
      </c>
      <c r="I104" s="353" t="str">
        <f>I166</f>
        <v/>
      </c>
      <c r="J104" s="353"/>
    </row>
    <row r="105" spans="2:20" ht="14.25" customHeight="1" x14ac:dyDescent="0.2">
      <c r="C105" s="72"/>
      <c r="M105" s="85"/>
      <c r="N105" s="86"/>
      <c r="O105" s="86"/>
      <c r="P105" s="86"/>
      <c r="Q105" s="86"/>
      <c r="R105" s="86"/>
      <c r="S105" s="85"/>
      <c r="T105" s="87"/>
    </row>
    <row r="106" spans="2:20" ht="14.25" customHeight="1" x14ac:dyDescent="0.25">
      <c r="B106" s="70" t="s">
        <v>234</v>
      </c>
      <c r="M106" s="85"/>
      <c r="N106" s="86"/>
      <c r="O106" s="86"/>
      <c r="P106" s="86"/>
      <c r="Q106" s="86"/>
      <c r="R106" s="86"/>
      <c r="S106" s="85"/>
      <c r="T106" s="87"/>
    </row>
    <row r="107" spans="2:20" ht="14.25" customHeight="1" x14ac:dyDescent="0.2">
      <c r="B107" s="156"/>
      <c r="C107" s="157" t="s">
        <v>0</v>
      </c>
      <c r="D107" s="157" t="s">
        <v>1</v>
      </c>
      <c r="E107" s="157" t="s">
        <v>2</v>
      </c>
      <c r="F107" s="157" t="s">
        <v>3</v>
      </c>
      <c r="G107" s="158" t="s">
        <v>4</v>
      </c>
      <c r="M107" s="85"/>
      <c r="N107" s="86"/>
      <c r="O107" s="86"/>
      <c r="P107" s="86"/>
      <c r="Q107" s="86"/>
      <c r="R107" s="86"/>
      <c r="S107" s="85"/>
      <c r="T107" s="87"/>
    </row>
    <row r="108" spans="2:20" ht="38.25" x14ac:dyDescent="0.2">
      <c r="B108" s="159" t="s">
        <v>81</v>
      </c>
      <c r="C108" s="161">
        <f>'Rhaniad y Ddeiliadaeth (Cymru)'!C108</f>
        <v>0.3</v>
      </c>
      <c r="D108" s="161">
        <f>'Rhaniad y Ddeiliadaeth (Cymru)'!D108</f>
        <v>0.3</v>
      </c>
      <c r="E108" s="161">
        <f>'Rhaniad y Ddeiliadaeth (Cymru)'!E108</f>
        <v>0.3</v>
      </c>
      <c r="F108" s="161">
        <f>'Rhaniad y Ddeiliadaeth (Cymru)'!F108</f>
        <v>0.3</v>
      </c>
      <c r="G108" s="162">
        <f>'Rhaniad y Ddeiliadaeth (Cymru)'!G108</f>
        <v>0.3</v>
      </c>
      <c r="O108" s="86"/>
      <c r="P108" s="86"/>
      <c r="Q108" s="86"/>
      <c r="R108" s="86"/>
      <c r="S108" s="85"/>
      <c r="T108" s="87"/>
    </row>
    <row r="109" spans="2:20" ht="25.5" x14ac:dyDescent="0.2">
      <c r="B109" s="159" t="s">
        <v>219</v>
      </c>
      <c r="C109" s="161">
        <f>'Rhaniad y Ddeiliadaeth (Cymru)'!C109</f>
        <v>3.5377362656780903E-2</v>
      </c>
      <c r="D109" s="161">
        <f>'Rhaniad y Ddeiliadaeth (Cymru)'!D109</f>
        <v>2.571119448209791E-2</v>
      </c>
      <c r="E109" s="161">
        <f>'Rhaniad y Ddeiliadaeth (Cymru)'!E109</f>
        <v>3.2803011550502595E-2</v>
      </c>
      <c r="F109" s="161">
        <f>'Rhaniad y Ddeiliadaeth (Cymru)'!F109</f>
        <v>3.70858525612624E-2</v>
      </c>
      <c r="G109" s="162">
        <f>'Rhaniad y Ddeiliadaeth (Cymru)'!G109</f>
        <v>3.8062223065459387E-2</v>
      </c>
      <c r="O109" s="86"/>
      <c r="P109" s="86"/>
      <c r="Q109" s="86"/>
      <c r="R109" s="86"/>
      <c r="S109" s="85"/>
      <c r="T109" s="87"/>
    </row>
    <row r="110" spans="2:20" ht="25.5" x14ac:dyDescent="0.2">
      <c r="B110" s="159" t="s">
        <v>220</v>
      </c>
      <c r="C110" s="161">
        <f>'Rhaniad y Ddeiliadaeth (Cymru)'!C110</f>
        <v>0.01</v>
      </c>
      <c r="D110" s="161">
        <f>'Rhaniad y Ddeiliadaeth (Cymru)'!D110</f>
        <v>0.01</v>
      </c>
      <c r="E110" s="161">
        <f>'Rhaniad y Ddeiliadaeth (Cymru)'!E110</f>
        <v>0.01</v>
      </c>
      <c r="F110" s="161">
        <f>'Rhaniad y Ddeiliadaeth (Cymru)'!F110</f>
        <v>0.01</v>
      </c>
      <c r="G110" s="162">
        <f>'Rhaniad y Ddeiliadaeth (Cymru)'!G110</f>
        <v>0.01</v>
      </c>
      <c r="O110" s="86"/>
      <c r="P110" s="86"/>
      <c r="Q110" s="86"/>
      <c r="R110" s="86"/>
      <c r="S110" s="85"/>
      <c r="T110" s="87"/>
    </row>
    <row r="111" spans="2:20" ht="25.5" x14ac:dyDescent="0.2">
      <c r="B111" s="159" t="s">
        <v>221</v>
      </c>
      <c r="C111" s="161">
        <f>'Rhaniad y Ddeiliadaeth (Cymru)'!C111</f>
        <v>2.9066130553574002E-2</v>
      </c>
      <c r="D111" s="161">
        <f>'Rhaniad y Ddeiliadaeth (Cymru)'!D111</f>
        <v>2.9536238937667179E-2</v>
      </c>
      <c r="E111" s="161">
        <f>'Rhaniad y Ddeiliadaeth (Cymru)'!E111</f>
        <v>3.0600923725820621E-2</v>
      </c>
      <c r="F111" s="161">
        <f>'Rhaniad y Ddeiliadaeth (Cymru)'!F111</f>
        <v>3.1212408697362831E-2</v>
      </c>
      <c r="G111" s="162">
        <f>'Rhaniad y Ddeiliadaeth (Cymru)'!G111</f>
        <v>3.1716449662899181E-2</v>
      </c>
      <c r="O111" s="86"/>
      <c r="P111" s="86"/>
      <c r="Q111" s="86"/>
      <c r="R111" s="86"/>
      <c r="S111" s="85"/>
      <c r="T111" s="87"/>
    </row>
    <row r="112" spans="2:20" ht="25.5" x14ac:dyDescent="0.2">
      <c r="B112" s="159" t="s">
        <v>222</v>
      </c>
      <c r="C112" s="163">
        <f>INDEX('Prisiau Rhenti'!$D$14:$D$15,MATCH('Rhaniad y Ddeiliadaeth (Gog)'!$D$9,'Prisiau Rhenti'!$B$14:$B$15,0))*(1+C111)</f>
        <v>6791.8364616535882</v>
      </c>
      <c r="D112" s="163">
        <f>C112*(1+D111)</f>
        <v>6992.4417662105488</v>
      </c>
      <c r="E112" s="163">
        <f>D112*(1+E111)</f>
        <v>7206.4169433556008</v>
      </c>
      <c r="F112" s="163">
        <f>E112*(1+F111)</f>
        <v>7431.3465742352164</v>
      </c>
      <c r="G112" s="164">
        <f>F112*(1+G111)</f>
        <v>7667.0425037845062</v>
      </c>
      <c r="O112" s="86"/>
      <c r="P112" s="86"/>
      <c r="Q112" s="86"/>
      <c r="R112" s="86"/>
      <c r="S112" s="85"/>
      <c r="T112" s="87"/>
    </row>
    <row r="113" spans="2:20" ht="25.5" x14ac:dyDescent="0.2">
      <c r="B113" s="159" t="s">
        <v>248</v>
      </c>
      <c r="C113" s="163">
        <f>INDEX('Prisiau Rhenti'!$C$14:$C$15,MATCH('Rhaniad y Ddeiliadaeth (Gog)'!$D$9,'Prisiau Rhenti'!$B$14:$B$15,0))*(1+C111)</f>
        <v>6112.6528154882299</v>
      </c>
      <c r="D113" s="163">
        <f>C113*(1+D111)</f>
        <v>6293.1975895894948</v>
      </c>
      <c r="E113" s="163">
        <f>D113*(1+E111)</f>
        <v>6485.7752490200419</v>
      </c>
      <c r="F113" s="163">
        <f>E113*(1+F111)</f>
        <v>6688.211916811696</v>
      </c>
      <c r="G113" s="164">
        <f>F113*(1+G111)</f>
        <v>6900.3382534060565</v>
      </c>
      <c r="O113" s="86"/>
      <c r="P113" s="86"/>
      <c r="Q113" s="86"/>
      <c r="R113" s="86"/>
      <c r="S113" s="85"/>
      <c r="T113" s="87"/>
    </row>
    <row r="114" spans="2:20" ht="38.25" x14ac:dyDescent="0.2">
      <c r="B114" s="155" t="s">
        <v>88</v>
      </c>
      <c r="C114" s="165">
        <f>'Rhaniad y Ddeiliadaeth (Cymru)'!C114</f>
        <v>3.8</v>
      </c>
      <c r="D114" s="165">
        <f>'Rhaniad y Ddeiliadaeth (Cymru)'!D114</f>
        <v>3.8</v>
      </c>
      <c r="E114" s="165">
        <f>'Rhaniad y Ddeiliadaeth (Cymru)'!E114</f>
        <v>3.8</v>
      </c>
      <c r="F114" s="165">
        <f>'Rhaniad y Ddeiliadaeth (Cymru)'!F114</f>
        <v>3.8</v>
      </c>
      <c r="G114" s="166">
        <f>'Rhaniad y Ddeiliadaeth (Cymru)'!G114</f>
        <v>3.8</v>
      </c>
      <c r="O114" s="86"/>
      <c r="P114" s="86"/>
      <c r="Q114" s="86"/>
      <c r="R114" s="86"/>
      <c r="S114" s="85"/>
      <c r="T114" s="87"/>
    </row>
    <row r="115" spans="2:20" ht="38.25" x14ac:dyDescent="0.2">
      <c r="B115" s="155" t="s">
        <v>89</v>
      </c>
      <c r="C115" s="165">
        <f>'Rhaniad y Ddeiliadaeth (Cymru)'!C115</f>
        <v>25</v>
      </c>
      <c r="D115" s="165">
        <f>'Rhaniad y Ddeiliadaeth (Cymru)'!D115</f>
        <v>25</v>
      </c>
      <c r="E115" s="165">
        <f>'Rhaniad y Ddeiliadaeth (Cymru)'!E115</f>
        <v>25</v>
      </c>
      <c r="F115" s="165">
        <f>'Rhaniad y Ddeiliadaeth (Cymru)'!F115</f>
        <v>25</v>
      </c>
      <c r="G115" s="166">
        <f>'Rhaniad y Ddeiliadaeth (Cymru)'!G115</f>
        <v>25</v>
      </c>
      <c r="O115" s="86"/>
      <c r="P115" s="86"/>
      <c r="Q115" s="86"/>
      <c r="R115" s="86"/>
      <c r="S115" s="85"/>
      <c r="T115" s="87"/>
    </row>
    <row r="116" spans="2:20" ht="51" x14ac:dyDescent="0.2">
      <c r="B116" s="155" t="s">
        <v>223</v>
      </c>
      <c r="C116" s="167" t="str">
        <f>'Rhaniad y Ddeiliadaeth (Cymru)'!C116</f>
        <v>-</v>
      </c>
      <c r="D116" s="167" t="str">
        <f>'Rhaniad y Ddeiliadaeth (Cymru)'!D116</f>
        <v>-</v>
      </c>
      <c r="E116" s="167" t="str">
        <f>'Rhaniad y Ddeiliadaeth (Cymru)'!E116</f>
        <v>-</v>
      </c>
      <c r="F116" s="167" t="str">
        <f>'Rhaniad y Ddeiliadaeth (Cymru)'!F116</f>
        <v>-</v>
      </c>
      <c r="G116" s="168" t="str">
        <f>'Rhaniad y Ddeiliadaeth (Cymru)'!G116</f>
        <v>-</v>
      </c>
      <c r="O116" s="86"/>
      <c r="P116" s="86"/>
      <c r="Q116" s="86"/>
      <c r="R116" s="86"/>
      <c r="S116" s="85"/>
      <c r="T116" s="87"/>
    </row>
    <row r="117" spans="2:20" ht="38.25" x14ac:dyDescent="0.2">
      <c r="B117" s="155" t="s">
        <v>90</v>
      </c>
      <c r="C117" s="167">
        <f>'Rhaniad y Ddeiliadaeth (Cymru)'!C117</f>
        <v>0.35</v>
      </c>
      <c r="D117" s="167">
        <f>'Rhaniad y Ddeiliadaeth (Cymru)'!D117</f>
        <v>0.35</v>
      </c>
      <c r="E117" s="167">
        <f>'Rhaniad y Ddeiliadaeth (Cymru)'!E117</f>
        <v>0.35</v>
      </c>
      <c r="F117" s="167">
        <f>'Rhaniad y Ddeiliadaeth (Cymru)'!F117</f>
        <v>0.35</v>
      </c>
      <c r="G117" s="168">
        <f>'Rhaniad y Ddeiliadaeth (Cymru)'!G117</f>
        <v>0.35</v>
      </c>
      <c r="O117" s="86"/>
      <c r="P117" s="86"/>
      <c r="Q117" s="86"/>
      <c r="R117" s="86"/>
      <c r="S117" s="85"/>
      <c r="T117" s="87"/>
    </row>
    <row r="118" spans="2:20" ht="25.5" x14ac:dyDescent="0.2">
      <c r="B118" s="160" t="s">
        <v>132</v>
      </c>
      <c r="C118" s="169">
        <f>'Rhaniad y Ddeiliadaeth (Cymru)'!C118</f>
        <v>2.8405585293094449E-2</v>
      </c>
      <c r="D118" s="169">
        <f>'Rhaniad y Ddeiliadaeth (Cymru)'!D118</f>
        <v>2.2265547421218557E-3</v>
      </c>
      <c r="E118" s="169">
        <f>'Rhaniad y Ddeiliadaeth (Cymru)'!E118</f>
        <v>2.1524380028468126E-2</v>
      </c>
      <c r="F118" s="169">
        <f>'Rhaniad y Ddeiliadaeth (Cymru)'!F118</f>
        <v>3.8999168521062666E-2</v>
      </c>
      <c r="G118" s="170">
        <f>'Rhaniad y Ddeiliadaeth (Cymru)'!G118</f>
        <v>4.147992390238664E-2</v>
      </c>
      <c r="O118" s="86"/>
      <c r="P118" s="86"/>
      <c r="Q118" s="86"/>
      <c r="R118" s="86"/>
      <c r="S118" s="85"/>
      <c r="T118" s="87"/>
    </row>
    <row r="119" spans="2:20" ht="14.25" customHeight="1" x14ac:dyDescent="0.2">
      <c r="C119" s="72"/>
      <c r="M119" s="85"/>
      <c r="N119" s="86"/>
      <c r="O119" s="86"/>
      <c r="P119" s="86"/>
      <c r="Q119" s="86"/>
      <c r="R119" s="86"/>
      <c r="S119" s="85"/>
      <c r="T119" s="87"/>
    </row>
    <row r="120" spans="2:20" ht="14.25" hidden="1" customHeight="1" x14ac:dyDescent="0.2">
      <c r="B120" s="113" t="s">
        <v>224</v>
      </c>
      <c r="C120" s="114"/>
      <c r="L120" s="85"/>
      <c r="M120" s="86"/>
      <c r="N120" s="86"/>
      <c r="O120" s="86"/>
      <c r="P120" s="86"/>
      <c r="R120" s="86"/>
      <c r="S120" s="85"/>
      <c r="T120" s="87"/>
    </row>
    <row r="121" spans="2:20" ht="14.25" hidden="1" customHeight="1" x14ac:dyDescent="0.2">
      <c r="B121" s="113" t="s">
        <v>225</v>
      </c>
      <c r="C121" s="115" t="s">
        <v>226</v>
      </c>
      <c r="G121" s="85"/>
      <c r="L121" s="85"/>
      <c r="M121" s="85"/>
      <c r="N121" s="85"/>
      <c r="O121" s="85"/>
      <c r="P121" s="85"/>
      <c r="R121" s="85"/>
      <c r="S121" s="85"/>
      <c r="T121" s="85"/>
    </row>
    <row r="122" spans="2:20" ht="14.25" hidden="1" customHeight="1" x14ac:dyDescent="0.2">
      <c r="B122" s="114" t="s">
        <v>30</v>
      </c>
      <c r="C122" s="114">
        <f>IF(E6="Y",0,1)</f>
        <v>0</v>
      </c>
      <c r="G122" s="85"/>
    </row>
    <row r="123" spans="2:20" ht="14.25" hidden="1" customHeight="1" x14ac:dyDescent="0.2">
      <c r="B123" s="114" t="s">
        <v>151</v>
      </c>
      <c r="C123" s="114">
        <f>IF(E7="Y",0,1)</f>
        <v>0</v>
      </c>
      <c r="G123" s="85"/>
    </row>
    <row r="124" spans="2:20" ht="14.25" hidden="1" customHeight="1" x14ac:dyDescent="0.2">
      <c r="B124" s="114" t="s">
        <v>207</v>
      </c>
      <c r="C124" s="114">
        <f>IF(E8="Y",0,1)</f>
        <v>0</v>
      </c>
      <c r="G124" s="85"/>
    </row>
    <row r="125" spans="2:20" ht="14.25" hidden="1" customHeight="1" x14ac:dyDescent="0.2">
      <c r="B125" s="114" t="s">
        <v>33</v>
      </c>
      <c r="C125" s="114">
        <f>IF(E9="Y",0,1)</f>
        <v>0</v>
      </c>
      <c r="G125" s="85"/>
    </row>
    <row r="126" spans="2:20" ht="14.25" hidden="1" customHeight="1" x14ac:dyDescent="0.2">
      <c r="B126" s="113" t="s">
        <v>227</v>
      </c>
      <c r="C126" s="114"/>
      <c r="G126" s="85"/>
    </row>
    <row r="127" spans="2:20" ht="14.25" hidden="1" customHeight="1" x14ac:dyDescent="0.2">
      <c r="B127" s="114" t="s">
        <v>211</v>
      </c>
      <c r="C127" s="114">
        <f>IF(E11="Y",0,1)</f>
        <v>0</v>
      </c>
      <c r="G127" s="85"/>
    </row>
    <row r="128" spans="2:20" ht="14.25" hidden="1" customHeight="1" x14ac:dyDescent="0.2">
      <c r="B128" s="114" t="s">
        <v>249</v>
      </c>
      <c r="C128" s="114">
        <f>IF(E12="Y",0,1)</f>
        <v>0</v>
      </c>
      <c r="G128" s="85"/>
    </row>
    <row r="129" spans="2:7" ht="14.25" hidden="1" customHeight="1" x14ac:dyDescent="0.2">
      <c r="B129" s="113" t="s">
        <v>228</v>
      </c>
      <c r="C129" s="114"/>
      <c r="G129" s="85"/>
    </row>
    <row r="130" spans="2:7" ht="14.25" hidden="1" customHeight="1" x14ac:dyDescent="0.2">
      <c r="B130" s="114" t="s">
        <v>83</v>
      </c>
      <c r="C130" s="114">
        <f>IF(E14="Y",0,1)</f>
        <v>0</v>
      </c>
      <c r="G130" s="85"/>
    </row>
    <row r="131" spans="2:7" ht="14.25" hidden="1" customHeight="1" x14ac:dyDescent="0.2">
      <c r="B131" s="114" t="s">
        <v>129</v>
      </c>
      <c r="C131" s="114">
        <f>IF(E15="Y",0,1)</f>
        <v>0</v>
      </c>
      <c r="G131" s="85"/>
    </row>
    <row r="132" spans="2:7" ht="14.25" hidden="1" customHeight="1" x14ac:dyDescent="0.2">
      <c r="B132" s="114" t="s">
        <v>85</v>
      </c>
      <c r="C132" s="114">
        <f>IF(E16="Y",0,1)</f>
        <v>0</v>
      </c>
      <c r="G132" s="85"/>
    </row>
    <row r="133" spans="2:7" ht="14.25" hidden="1" customHeight="1" x14ac:dyDescent="0.2">
      <c r="B133" s="114" t="s">
        <v>231</v>
      </c>
      <c r="C133" s="114">
        <f>IF(SUM(C122:C132)&gt;0,1,0)</f>
        <v>0</v>
      </c>
      <c r="G133" s="85"/>
    </row>
    <row r="134" spans="2:7" ht="14.25" hidden="1" customHeight="1" x14ac:dyDescent="0.2">
      <c r="G134" s="85"/>
    </row>
    <row r="135" spans="2:7" ht="14.25" hidden="1" customHeight="1" x14ac:dyDescent="0.2">
      <c r="B135" s="109" t="s">
        <v>336</v>
      </c>
      <c r="C135" s="110"/>
      <c r="G135" s="85"/>
    </row>
    <row r="136" spans="2:7" ht="14.25" hidden="1" customHeight="1" x14ac:dyDescent="0.2">
      <c r="B136" s="109" t="s">
        <v>225</v>
      </c>
      <c r="C136" s="261" t="s">
        <v>235</v>
      </c>
      <c r="G136" s="85"/>
    </row>
    <row r="137" spans="2:7" ht="14.25" hidden="1" customHeight="1" x14ac:dyDescent="0.2">
      <c r="B137" s="110" t="s">
        <v>86</v>
      </c>
      <c r="C137" s="110">
        <f>IF(E18="Y",0,1)</f>
        <v>0</v>
      </c>
      <c r="G137" s="85"/>
    </row>
    <row r="138" spans="2:7" ht="14.25" hidden="1" customHeight="1" x14ac:dyDescent="0.2">
      <c r="B138" s="109" t="s">
        <v>227</v>
      </c>
      <c r="C138" s="110"/>
      <c r="G138" s="85"/>
    </row>
    <row r="139" spans="2:7" ht="14.25" hidden="1" customHeight="1" x14ac:dyDescent="0.2">
      <c r="B139" s="110" t="s">
        <v>208</v>
      </c>
      <c r="C139" s="110">
        <f>IF(E20="Y",0,1)</f>
        <v>0</v>
      </c>
      <c r="G139" s="85"/>
    </row>
    <row r="140" spans="2:7" ht="18.75" hidden="1" customHeight="1" x14ac:dyDescent="0.2">
      <c r="B140" s="110" t="s">
        <v>229</v>
      </c>
      <c r="C140" s="110">
        <f>IF(E21="Y",0,1)</f>
        <v>0</v>
      </c>
      <c r="G140" s="85"/>
    </row>
    <row r="141" spans="2:7" ht="18.75" hidden="1" customHeight="1" x14ac:dyDescent="0.2">
      <c r="B141" s="110" t="s">
        <v>230</v>
      </c>
      <c r="C141" s="110">
        <f>IF(E22="Y",0,1)</f>
        <v>1</v>
      </c>
      <c r="G141" s="85"/>
    </row>
    <row r="142" spans="2:7" hidden="1" x14ac:dyDescent="0.2">
      <c r="B142" s="110" t="s">
        <v>213</v>
      </c>
      <c r="C142" s="110">
        <f>IF(E23="Y",0,1)</f>
        <v>0</v>
      </c>
    </row>
    <row r="143" spans="2:7" hidden="1" x14ac:dyDescent="0.2">
      <c r="B143" s="109" t="s">
        <v>228</v>
      </c>
      <c r="C143" s="110"/>
    </row>
    <row r="144" spans="2:7" hidden="1" x14ac:dyDescent="0.2">
      <c r="B144" s="110" t="s">
        <v>91</v>
      </c>
      <c r="C144" s="110">
        <f>IF(E25="Y",0,1)</f>
        <v>0</v>
      </c>
    </row>
    <row r="145" spans="2:10" hidden="1" x14ac:dyDescent="0.2">
      <c r="B145" s="110" t="s">
        <v>337</v>
      </c>
      <c r="C145" s="110">
        <f>IF(SUM(C133,C137:C144)=0,0,1)</f>
        <v>1</v>
      </c>
    </row>
    <row r="146" spans="2:10" hidden="1" x14ac:dyDescent="0.2">
      <c r="C146" s="88"/>
      <c r="D146" s="88"/>
      <c r="E146" s="88"/>
      <c r="F146" s="88"/>
      <c r="G146" s="88"/>
      <c r="I146" s="88"/>
    </row>
    <row r="147" spans="2:10" hidden="1" x14ac:dyDescent="0.2">
      <c r="B147" s="113" t="s">
        <v>232</v>
      </c>
      <c r="C147" s="114"/>
      <c r="D147" s="114"/>
      <c r="E147" s="114"/>
      <c r="F147" s="114"/>
      <c r="G147" s="114"/>
      <c r="H147" s="114"/>
      <c r="I147" s="114"/>
      <c r="J147" s="114"/>
    </row>
    <row r="148" spans="2:10" hidden="1" x14ac:dyDescent="0.2">
      <c r="B148" s="264" t="str">
        <f>IF(C133=1,"Cwblhewch y tabl i weld amcangyfrifon wedi'u rhannu'n 2 ddeiliadaeth.","")</f>
        <v/>
      </c>
      <c r="C148" s="114" t="str">
        <f>IF($C$133=0,"2018/19","")</f>
        <v>2018/19</v>
      </c>
      <c r="D148" s="114" t="str">
        <f>IF($C$133=0,"2019/20","")</f>
        <v>2019/20</v>
      </c>
      <c r="E148" s="114" t="str">
        <f>IF($C$133=0,"2020/21","")</f>
        <v>2020/21</v>
      </c>
      <c r="F148" s="114" t="str">
        <f>IF($C$133=0,"2021/22","")</f>
        <v>2021/22</v>
      </c>
      <c r="G148" s="114" t="str">
        <f>IF($C$133=0,"2022/23","")</f>
        <v>2022/23</v>
      </c>
      <c r="H148" s="114"/>
      <c r="I148" s="114"/>
      <c r="J148" s="114"/>
    </row>
    <row r="149" spans="2:10" hidden="1" x14ac:dyDescent="0.2">
      <c r="B149" s="114" t="str">
        <f>IF($C$133=0,"Tai'r Farchnad","")</f>
        <v>Tai'r Farchnad</v>
      </c>
      <c r="C149" s="116">
        <f>IF($C$133=0,'Cyfrifiadau - Gogledd'!C29,"")</f>
        <v>814.79</v>
      </c>
      <c r="D149" s="116">
        <f>IF($C$133=0,'Cyfrifiadau - Gogledd'!D29,"")</f>
        <v>758.06</v>
      </c>
      <c r="E149" s="116">
        <f>IF($C$133=0,'Cyfrifiadau - Gogledd'!E29,"")</f>
        <v>754</v>
      </c>
      <c r="F149" s="116">
        <f>IF($C$133=0,'Cyfrifiadau - Gogledd'!F29,"")</f>
        <v>816.56</v>
      </c>
      <c r="G149" s="116">
        <f>IF($C$133=0,'Cyfrifiadau - Gogledd'!G29,"")</f>
        <v>771.13</v>
      </c>
      <c r="H149" s="114"/>
      <c r="I149" s="114"/>
      <c r="J149" s="114"/>
    </row>
    <row r="150" spans="2:10" hidden="1" x14ac:dyDescent="0.2">
      <c r="B150" s="114" t="str">
        <f>IF($C$133=0,"Tai Fforddiadwy","")</f>
        <v>Tai Fforddiadwy</v>
      </c>
      <c r="C150" s="116">
        <f>IF($C$133=0,'Cyfrifiadau - Gogledd'!C30,"")</f>
        <v>814.61000000000013</v>
      </c>
      <c r="D150" s="116">
        <f>IF($C$133=0,'Cyfrifiadau - Gogledd'!D30,"")</f>
        <v>797.34000000000015</v>
      </c>
      <c r="E150" s="116">
        <f>IF($C$133=0,'Cyfrifiadau - Gogledd'!E30,"")</f>
        <v>794.40000000000009</v>
      </c>
      <c r="F150" s="116">
        <f>IF($C$133=0,'Cyfrifiadau - Gogledd'!F30,"")</f>
        <v>815.84000000000015</v>
      </c>
      <c r="G150" s="116">
        <f>IF($C$133=0,'Cyfrifiadau - Gogledd'!G30,"")</f>
        <v>784.2700000000001</v>
      </c>
      <c r="H150" s="114"/>
      <c r="I150" s="114"/>
      <c r="J150" s="114"/>
    </row>
    <row r="151" spans="2:10" hidden="1" x14ac:dyDescent="0.2">
      <c r="B151" s="114" t="str">
        <f>IF(C120=1,"Cwblhewch y tabl i weld amcangyfrifon wedi'u rhannu'n 2 ddeiliadaeth.","")</f>
        <v/>
      </c>
      <c r="C151" s="114" t="str">
        <f>IF($C$133=0,"2018/19","")</f>
        <v>2018/19</v>
      </c>
      <c r="D151" s="114" t="str">
        <f>IF($C$133=0,"2019/20","")</f>
        <v>2019/20</v>
      </c>
      <c r="E151" s="114" t="str">
        <f>IF($C$133=0,"2020/21","")</f>
        <v>2020/21</v>
      </c>
      <c r="F151" s="114" t="str">
        <f>IF($C$133=0,"2021/22","")</f>
        <v>2021/22</v>
      </c>
      <c r="G151" s="114" t="str">
        <f>IF($C$133=0,"2022/23","")</f>
        <v>2022/23</v>
      </c>
      <c r="H151" s="114"/>
      <c r="I151" s="114" t="str">
        <f>IF(C133=1,"","Rhaniad Blynyddol Cyfartalog ar draws 5 mlynedd")</f>
        <v>Rhaniad Blynyddol Cyfartalog ar draws 5 mlynedd</v>
      </c>
      <c r="J151" s="114"/>
    </row>
    <row r="152" spans="2:10" hidden="1" x14ac:dyDescent="0.2">
      <c r="B152" s="114" t="str">
        <f>IF($C$133=0,"Tai'r Farchnad","")</f>
        <v>Tai'r Farchnad</v>
      </c>
      <c r="C152" s="117">
        <f>IF($C$133=1,"",C149/SUM(C$149:C$150))</f>
        <v>0.5000552350558487</v>
      </c>
      <c r="D152" s="117">
        <f t="shared" ref="D152:G153" si="6">IF($C$133=1,"",D149/SUM(D$149:D$150))</f>
        <v>0.4873730230165873</v>
      </c>
      <c r="E152" s="117">
        <f t="shared" si="6"/>
        <v>0.48695427538103847</v>
      </c>
      <c r="F152" s="117">
        <f t="shared" si="6"/>
        <v>0.50022053418279833</v>
      </c>
      <c r="G152" s="117">
        <f t="shared" si="6"/>
        <v>0.49577600617204576</v>
      </c>
      <c r="H152" s="114"/>
      <c r="I152" s="117">
        <f>IF($C$133=1,"",SUM(C149:G149)/SUM($C$149:$G$150))</f>
        <v>0.49419770231031435</v>
      </c>
      <c r="J152" s="114"/>
    </row>
    <row r="153" spans="2:10" hidden="1" x14ac:dyDescent="0.2">
      <c r="B153" s="114" t="str">
        <f>IF($C$133=0,"Tai Fforddiadwy","")</f>
        <v>Tai Fforddiadwy</v>
      </c>
      <c r="C153" s="117">
        <f>IF($C$133=1,"",C150/SUM(C$149:C$150))</f>
        <v>0.4999447649441513</v>
      </c>
      <c r="D153" s="117">
        <f t="shared" si="6"/>
        <v>0.51262697698341264</v>
      </c>
      <c r="E153" s="117">
        <f t="shared" si="6"/>
        <v>0.51304572461896158</v>
      </c>
      <c r="F153" s="117">
        <f t="shared" si="6"/>
        <v>0.49977946581720173</v>
      </c>
      <c r="G153" s="117">
        <f t="shared" si="6"/>
        <v>0.50422399382795424</v>
      </c>
      <c r="H153" s="114"/>
      <c r="I153" s="117">
        <f>IF($C$133=1,"",SUM(C150:G150)/SUM($C$149:$G$150))</f>
        <v>0.50580229768968565</v>
      </c>
      <c r="J153" s="114"/>
    </row>
    <row r="154" spans="2:10" hidden="1" x14ac:dyDescent="0.2">
      <c r="C154" s="88"/>
      <c r="D154" s="88"/>
      <c r="E154" s="88"/>
      <c r="F154" s="88"/>
      <c r="G154" s="88"/>
      <c r="I154" s="88"/>
    </row>
    <row r="155" spans="2:10" hidden="1" x14ac:dyDescent="0.2">
      <c r="C155" s="88"/>
      <c r="D155" s="88"/>
      <c r="E155" s="88"/>
      <c r="F155" s="88"/>
      <c r="G155" s="88"/>
      <c r="I155" s="88"/>
    </row>
    <row r="156" spans="2:10" hidden="1" x14ac:dyDescent="0.2">
      <c r="B156" s="109" t="s">
        <v>338</v>
      </c>
      <c r="C156" s="110"/>
      <c r="D156" s="110"/>
      <c r="E156" s="110"/>
      <c r="F156" s="110"/>
      <c r="G156" s="110"/>
      <c r="H156" s="110"/>
      <c r="I156" s="110"/>
      <c r="J156" s="110"/>
    </row>
    <row r="157" spans="2:10" ht="51" hidden="1" x14ac:dyDescent="0.2">
      <c r="B157" s="260" t="str">
        <f>IF(C145=1,"Cwblhewch y tabl i weld amcangyfrifon wedi'u rhannu'n 4 deiliadaeth.","")</f>
        <v>Cwblhewch y tabl i weld amcangyfrifon wedi'u rhannu'n 4 deiliadaeth.</v>
      </c>
      <c r="C157" s="110" t="str">
        <f>IF($C$145=0,"2018/19","")</f>
        <v/>
      </c>
      <c r="D157" s="110" t="str">
        <f>IF($C$145=0,"2019/20","")</f>
        <v/>
      </c>
      <c r="E157" s="110" t="str">
        <f>IF($C$145=0,"2020/21","")</f>
        <v/>
      </c>
      <c r="F157" s="110" t="str">
        <f>IF($C$145=0,"2021/22","")</f>
        <v/>
      </c>
      <c r="G157" s="110" t="str">
        <f>IF($C$145=0,"2022/23","")</f>
        <v/>
      </c>
      <c r="H157" s="110"/>
      <c r="I157" s="110"/>
      <c r="J157" s="110"/>
    </row>
    <row r="158" spans="2:10" hidden="1" x14ac:dyDescent="0.2">
      <c r="B158" s="110" t="str">
        <f>IF($C$145=0,"Perchen-feddiannydd","")</f>
        <v/>
      </c>
      <c r="C158" s="111" t="str">
        <f>IF($C$145=0,'Cyfrifiadau - Gogledd'!C59,"")</f>
        <v/>
      </c>
      <c r="D158" s="111" t="str">
        <f>IF($C$145=0,'Cyfrifiadau - Gogledd'!D59,"")</f>
        <v/>
      </c>
      <c r="E158" s="111" t="str">
        <f>IF($C$145=0,'Cyfrifiadau - Gogledd'!E59,"")</f>
        <v/>
      </c>
      <c r="F158" s="111" t="str">
        <f>IF($C$145=0,'Cyfrifiadau - Gogledd'!F59,"")</f>
        <v/>
      </c>
      <c r="G158" s="111" t="str">
        <f>IF($C$145=0,'Cyfrifiadau - Gogledd'!G59,"")</f>
        <v/>
      </c>
      <c r="H158" s="110"/>
      <c r="I158" s="110"/>
      <c r="J158" s="110"/>
    </row>
    <row r="159" spans="2:10" hidden="1" x14ac:dyDescent="0.2">
      <c r="B159" s="110" t="str">
        <f>IF($C$145=0,"Y Sector Rhentu Preifat","")</f>
        <v/>
      </c>
      <c r="C159" s="111" t="str">
        <f>IF($C$145=0,'Cyfrifiadau - Gogledd'!C60,"")</f>
        <v/>
      </c>
      <c r="D159" s="111" t="str">
        <f>IF($C$145=0,'Cyfrifiadau - Gogledd'!D60,"")</f>
        <v/>
      </c>
      <c r="E159" s="111" t="str">
        <f>IF($C$145=0,'Cyfrifiadau - Gogledd'!E60,"")</f>
        <v/>
      </c>
      <c r="F159" s="111" t="str">
        <f>IF($C$145=0,'Cyfrifiadau - Gogledd'!F60,"")</f>
        <v/>
      </c>
      <c r="G159" s="111" t="str">
        <f>IF($C$145=0,'Cyfrifiadau - Gogledd'!G60,"")</f>
        <v/>
      </c>
      <c r="H159" s="110"/>
      <c r="I159" s="110"/>
      <c r="J159" s="110"/>
    </row>
    <row r="160" spans="2:10" hidden="1" x14ac:dyDescent="0.2">
      <c r="B160" s="110" t="str">
        <f>IF($C$145=0,"Cymdeithasol","")</f>
        <v/>
      </c>
      <c r="C160" s="111" t="str">
        <f>IF($C$145=0,'Cyfrifiadau - Gogledd'!C61,"")</f>
        <v/>
      </c>
      <c r="D160" s="111" t="str">
        <f>IF($C$145=0,'Cyfrifiadau - Gogledd'!D61,"")</f>
        <v/>
      </c>
      <c r="E160" s="111" t="str">
        <f>IF($C$145=0,'Cyfrifiadau - Gogledd'!E61,"")</f>
        <v/>
      </c>
      <c r="F160" s="111" t="str">
        <f>IF($C$145=0,'Cyfrifiadau - Gogledd'!F61,"")</f>
        <v/>
      </c>
      <c r="G160" s="111" t="str">
        <f>IF($C$145=0,'Cyfrifiadau - Gogledd'!G61,"")</f>
        <v/>
      </c>
      <c r="H160" s="110"/>
      <c r="I160" s="110"/>
      <c r="J160" s="110"/>
    </row>
    <row r="161" spans="2:24" hidden="1" x14ac:dyDescent="0.2">
      <c r="B161" s="110" t="str">
        <f>IF($C$145=0,"Canolradd","")</f>
        <v/>
      </c>
      <c r="C161" s="111" t="str">
        <f>IF($C$145=0,'Cyfrifiadau - Gogledd'!C62,"")</f>
        <v/>
      </c>
      <c r="D161" s="111" t="str">
        <f>IF($C$145=0,'Cyfrifiadau - Gogledd'!D62,"")</f>
        <v/>
      </c>
      <c r="E161" s="111" t="str">
        <f>IF($C$145=0,'Cyfrifiadau - Gogledd'!E62,"")</f>
        <v/>
      </c>
      <c r="F161" s="111" t="str">
        <f>IF($C$145=0,'Cyfrifiadau - Gogledd'!F62,"")</f>
        <v/>
      </c>
      <c r="G161" s="111" t="str">
        <f>IF($C$145=0,'Cyfrifiadau - Gogledd'!G62,"")</f>
        <v/>
      </c>
      <c r="H161" s="110"/>
      <c r="I161" s="110"/>
      <c r="J161" s="110"/>
    </row>
    <row r="162" spans="2:24" ht="51" hidden="1" x14ac:dyDescent="0.2">
      <c r="B162" s="260" t="str">
        <f>IF(C145=1,"Cwblhewch y tabl i weld amcangyfrifon wedi'u rhannu'n 4 deiliadaeth.","")</f>
        <v>Cwblhewch y tabl i weld amcangyfrifon wedi'u rhannu'n 4 deiliadaeth.</v>
      </c>
      <c r="C162" s="110" t="str">
        <f>IF($C$145=0,"2018/19","")</f>
        <v/>
      </c>
      <c r="D162" s="110" t="str">
        <f>IF($C$145=0,"2019/20","")</f>
        <v/>
      </c>
      <c r="E162" s="110" t="str">
        <f>IF($C$145=0,"2020/21","")</f>
        <v/>
      </c>
      <c r="F162" s="110" t="str">
        <f>IF($C$145=0,"2021/22","")</f>
        <v/>
      </c>
      <c r="G162" s="110" t="str">
        <f>IF($C$145=0,"2022/23","")</f>
        <v/>
      </c>
      <c r="H162" s="110"/>
      <c r="I162" s="110" t="str">
        <f>IF(C145=1,"","Rhaniad Blynyddol Cyfartalog ar draws 5 mlynedd")</f>
        <v/>
      </c>
      <c r="J162" s="110"/>
    </row>
    <row r="163" spans="2:24" hidden="1" x14ac:dyDescent="0.2">
      <c r="B163" s="110" t="str">
        <f>IF($C$145=0,"Perchen-feddiannydd","")</f>
        <v/>
      </c>
      <c r="C163" s="112" t="str">
        <f>IF($C$145=1,"",C158/SUM(C$158:C$161))</f>
        <v/>
      </c>
      <c r="D163" s="112" t="str">
        <f t="shared" ref="D163:G163" si="7">IF($C$145=1,"",D158/SUM(D$158:D$161))</f>
        <v/>
      </c>
      <c r="E163" s="112" t="str">
        <f t="shared" si="7"/>
        <v/>
      </c>
      <c r="F163" s="112" t="str">
        <f t="shared" si="7"/>
        <v/>
      </c>
      <c r="G163" s="112" t="str">
        <f t="shared" si="7"/>
        <v/>
      </c>
      <c r="H163" s="110"/>
      <c r="I163" s="112" t="str">
        <f>IF($C$145=1,"",SUM(C158:G158)/SUM($C$158:$G$161))</f>
        <v/>
      </c>
      <c r="J163" s="110"/>
    </row>
    <row r="164" spans="2:24" hidden="1" x14ac:dyDescent="0.2">
      <c r="B164" s="110" t="str">
        <f>IF($C$145=0,"Y Sector Rhentu Preifat","")</f>
        <v/>
      </c>
      <c r="C164" s="112" t="str">
        <f t="shared" ref="C164:G166" si="8">IF($C$145=1,"",C159/SUM(C$158:C$161))</f>
        <v/>
      </c>
      <c r="D164" s="112" t="str">
        <f t="shared" si="8"/>
        <v/>
      </c>
      <c r="E164" s="112" t="str">
        <f t="shared" si="8"/>
        <v/>
      </c>
      <c r="F164" s="112" t="str">
        <f t="shared" si="8"/>
        <v/>
      </c>
      <c r="G164" s="112" t="str">
        <f t="shared" si="8"/>
        <v/>
      </c>
      <c r="H164" s="110"/>
      <c r="I164" s="112" t="str">
        <f t="shared" ref="I164:I166" si="9">IF($C$145=1,"",SUM(C159:G159)/SUM($C$158:$G$161))</f>
        <v/>
      </c>
      <c r="J164" s="110"/>
    </row>
    <row r="165" spans="2:24" hidden="1" x14ac:dyDescent="0.2">
      <c r="B165" s="110" t="str">
        <f>IF($C$145=0,"Rhent Cymdeithasol","")</f>
        <v/>
      </c>
      <c r="C165" s="112" t="str">
        <f t="shared" si="8"/>
        <v/>
      </c>
      <c r="D165" s="112" t="str">
        <f t="shared" si="8"/>
        <v/>
      </c>
      <c r="E165" s="112" t="str">
        <f t="shared" si="8"/>
        <v/>
      </c>
      <c r="F165" s="112" t="str">
        <f t="shared" si="8"/>
        <v/>
      </c>
      <c r="G165" s="112" t="str">
        <f t="shared" si="8"/>
        <v/>
      </c>
      <c r="H165" s="110"/>
      <c r="I165" s="112" t="str">
        <f t="shared" si="9"/>
        <v/>
      </c>
      <c r="J165" s="110"/>
    </row>
    <row r="166" spans="2:24" hidden="1" x14ac:dyDescent="0.2">
      <c r="B166" s="110" t="str">
        <f>IF($C$145=0,"Rhent Canolradd","")</f>
        <v/>
      </c>
      <c r="C166" s="112" t="str">
        <f>IF($C$145=1,"",C161/SUM(C$158:C$161))</f>
        <v/>
      </c>
      <c r="D166" s="112" t="str">
        <f t="shared" si="8"/>
        <v/>
      </c>
      <c r="E166" s="112" t="str">
        <f t="shared" si="8"/>
        <v/>
      </c>
      <c r="F166" s="112" t="str">
        <f t="shared" si="8"/>
        <v/>
      </c>
      <c r="G166" s="112" t="str">
        <f t="shared" si="8"/>
        <v/>
      </c>
      <c r="H166" s="110"/>
      <c r="I166" s="112" t="str">
        <f t="shared" si="9"/>
        <v/>
      </c>
      <c r="J166" s="110"/>
    </row>
    <row r="167" spans="2:24" hidden="1" x14ac:dyDescent="0.2">
      <c r="C167" s="88"/>
      <c r="D167" s="88"/>
      <c r="E167" s="88"/>
      <c r="F167" s="88"/>
      <c r="G167" s="88"/>
      <c r="I167" s="88"/>
    </row>
    <row r="168" spans="2:24" hidden="1" x14ac:dyDescent="0.2">
      <c r="B168" s="72" t="s">
        <v>205</v>
      </c>
      <c r="C168" s="88"/>
      <c r="D168" s="88"/>
      <c r="E168" s="88"/>
      <c r="F168" s="88"/>
      <c r="G168" s="88"/>
      <c r="I168" s="88"/>
    </row>
    <row r="169" spans="2:24" hidden="1" x14ac:dyDescent="0.2">
      <c r="C169" s="88" t="str">
        <f>"Mae'r ffigurau isod yn rhannu'r amcangyfrifon o'r angen o ran tai yn "&amp;D1&amp;" yn ddwy ddeiliadaeth, ac maent wedi'i seilio ar y rhagdybiaethau canlynol."</f>
        <v>Mae'r ffigurau isod yn rhannu'r amcangyfrifon o'r angen o ran tai yn Gogledd Cymru yn ddwy ddeiliadaeth, ac maent wedi'i seilio ar y rhagdybiaethau canlynol.</v>
      </c>
      <c r="D169" s="88" t="str">
        <f>"Yn dilyn yr uchod, caiff amcangyfrifon "&amp;D1&amp;" eu rhannu ymhellach yn bedair deiliadaeth. Caiff yr amcangyfrifon hyn eu cynhyrchu gan y defnyddiwr, ac maent yn seiliedig ar y rhagdybiaethau canlynol. "</f>
        <v xml:space="preserve">Yn dilyn yr uchod, caiff amcangyfrifon Gogledd Cymru eu rhannu ymhellach yn bedair deiliadaeth. Caiff yr amcangyfrifon hyn eu cynhyrchu gan y defnyddiwr, ac maent yn seiliedig ar y rhagdybiaethau canlynol. </v>
      </c>
      <c r="E169" s="88" t="s">
        <v>215</v>
      </c>
      <c r="F169" s="88" t="s">
        <v>216</v>
      </c>
      <c r="G169" s="88" t="s">
        <v>250</v>
      </c>
      <c r="H169" s="88" t="s">
        <v>251</v>
      </c>
      <c r="I169" s="88" t="s">
        <v>252</v>
      </c>
      <c r="J169" s="73" t="e">
        <f>". Mae gan brynwyr am y tro cyntaf gymhareb fforddiadwyedd o "&amp;C175&amp;" a gallant brynu eiddo am y tro cyntaf yn ôl  "&amp;C176&amp;" canradd dosbarthiad prisiau tai. "&amp;C177</f>
        <v>#VALUE!</v>
      </c>
    </row>
    <row r="170" spans="2:24" hidden="1" x14ac:dyDescent="0.2">
      <c r="B170" s="73" t="s">
        <v>30</v>
      </c>
      <c r="C170" s="88" t="str">
        <f>IF(D6="Amcanestyniadau Defnyddwyr","amcanestyniadau'r aelwyd gan y defnyddiwr,",("amcanestyniadau aelwydydd gan Llywodraeth Cymru sy'n seiliedig ar 2014 "&amp;"("&amp;D6&amp;")"))</f>
        <v>amcanestyniadau aelwydydd gan Llywodraeth Cymru sy'n seiliedig ar 2014 (Prif Amcanestyniadau)</v>
      </c>
      <c r="D170" s="88"/>
      <c r="E170" s="88"/>
      <c r="F170" s="88"/>
      <c r="G170" s="88"/>
      <c r="I170" s="88"/>
    </row>
    <row r="171" spans="2:24" ht="15" hidden="1" customHeight="1" x14ac:dyDescent="0.2">
      <c r="B171" s="73" t="s">
        <v>151</v>
      </c>
      <c r="C171" s="89" t="str">
        <f>IF(D7="Amcangyfrifon LlC",'Angen Presennol Nas Diwallwyd'!C12,'Angen Presennol Nas Diwallwyd'!C21)&amp;" aelwydydd o ran angen presennol nas diwallwyd "</f>
        <v xml:space="preserve">5645 aelwydydd o ran angen presennol nas diwallwyd </v>
      </c>
      <c r="D171" s="88"/>
      <c r="E171" s="88"/>
      <c r="F171" s="88"/>
      <c r="G171" s="88"/>
      <c r="J171" s="90"/>
      <c r="K171" s="90"/>
      <c r="L171" s="90"/>
      <c r="M171" s="90"/>
      <c r="N171" s="90"/>
      <c r="O171" s="90"/>
      <c r="P171" s="90"/>
      <c r="R171" s="90"/>
      <c r="S171" s="90"/>
      <c r="T171" s="90"/>
      <c r="U171" s="90"/>
      <c r="V171" s="90"/>
      <c r="W171" s="90"/>
      <c r="X171" s="90"/>
    </row>
    <row r="172" spans="2:24" hidden="1" x14ac:dyDescent="0.2">
      <c r="B172" s="73" t="s">
        <v>207</v>
      </c>
      <c r="C172" s="88" t="str">
        <f>IF(D8="Arall", " amcangyfrifon defnyddwyr "," Ddata Llywodraeth Cymru ")</f>
        <v xml:space="preserve"> Ddata Llywodraeth Cymru </v>
      </c>
      <c r="D172" s="88"/>
      <c r="E172" s="88"/>
      <c r="F172" s="88"/>
      <c r="G172" s="88"/>
      <c r="I172" s="90"/>
      <c r="J172" s="90"/>
      <c r="K172" s="90"/>
      <c r="L172" s="90"/>
      <c r="M172" s="90"/>
      <c r="N172" s="90"/>
      <c r="O172" s="90"/>
      <c r="P172" s="90"/>
      <c r="R172" s="90"/>
      <c r="S172" s="90"/>
      <c r="T172" s="90"/>
      <c r="U172" s="90"/>
      <c r="V172" s="90"/>
      <c r="W172" s="90"/>
      <c r="X172" s="90"/>
    </row>
    <row r="173" spans="2:24" hidden="1" x14ac:dyDescent="0.2">
      <c r="B173" s="73" t="s">
        <v>86</v>
      </c>
      <c r="C173" s="88" t="str">
        <f>IF(D18="Arall", " amcangyfrifon defnyddwyr"," Ddata Cofrestrfa Tir")</f>
        <v xml:space="preserve"> Ddata Cofrestrfa Tir</v>
      </c>
      <c r="D173" s="88"/>
      <c r="E173" s="88"/>
      <c r="F173" s="88"/>
      <c r="G173" s="88"/>
      <c r="I173" s="90"/>
      <c r="J173" s="90"/>
      <c r="K173" s="90"/>
      <c r="L173" s="90"/>
      <c r="M173" s="90"/>
      <c r="N173" s="90"/>
      <c r="O173" s="90"/>
      <c r="P173" s="90"/>
      <c r="R173" s="90"/>
      <c r="S173" s="90"/>
      <c r="T173" s="90"/>
      <c r="U173" s="90"/>
      <c r="V173" s="90"/>
      <c r="W173" s="90"/>
      <c r="X173" s="90"/>
    </row>
    <row r="174" spans="2:24" hidden="1" x14ac:dyDescent="0.2">
      <c r="B174" s="73" t="s">
        <v>33</v>
      </c>
      <c r="C174" s="88" t="str">
        <f>IF(D9="Arall", " amcangyfrifon defnyddwyr"," Ddata Llywodraeth Cymru")</f>
        <v xml:space="preserve"> Ddata Llywodraeth Cymru</v>
      </c>
      <c r="D174" s="88"/>
      <c r="E174" s="88"/>
      <c r="F174" s="88"/>
      <c r="G174" s="88"/>
      <c r="I174" s="90"/>
      <c r="J174" s="90"/>
      <c r="K174" s="90"/>
      <c r="L174" s="90"/>
      <c r="M174" s="90"/>
      <c r="N174" s="90"/>
      <c r="O174" s="90"/>
      <c r="P174" s="90"/>
      <c r="R174" s="90"/>
      <c r="S174" s="90"/>
      <c r="T174" s="90"/>
      <c r="U174" s="90"/>
      <c r="V174" s="90"/>
      <c r="W174" s="90"/>
      <c r="X174" s="90"/>
    </row>
    <row r="175" spans="2:24" hidden="1" x14ac:dyDescent="0.2">
      <c r="B175" s="73" t="s">
        <v>208</v>
      </c>
      <c r="C175" s="91">
        <f>C114</f>
        <v>3.8</v>
      </c>
      <c r="D175" s="88"/>
      <c r="E175" s="88"/>
      <c r="F175" s="88"/>
      <c r="G175" s="88"/>
      <c r="I175" s="90"/>
      <c r="J175" s="90"/>
      <c r="K175" s="90"/>
      <c r="L175" s="90"/>
      <c r="M175" s="90"/>
      <c r="N175" s="90"/>
      <c r="O175" s="90"/>
      <c r="P175" s="90"/>
      <c r="R175" s="90"/>
      <c r="S175" s="90"/>
      <c r="T175" s="90"/>
      <c r="U175" s="90"/>
      <c r="V175" s="90"/>
      <c r="W175" s="90"/>
      <c r="X175" s="90"/>
    </row>
    <row r="176" spans="2:24" hidden="1" x14ac:dyDescent="0.2">
      <c r="B176" s="73" t="s">
        <v>209</v>
      </c>
      <c r="C176" s="91">
        <f>C115</f>
        <v>25</v>
      </c>
      <c r="D176" s="88"/>
      <c r="E176" s="88"/>
      <c r="F176" s="88"/>
      <c r="G176" s="88"/>
      <c r="I176" s="90"/>
      <c r="J176" s="90"/>
      <c r="K176" s="90"/>
      <c r="L176" s="90"/>
      <c r="M176" s="90"/>
      <c r="N176" s="90"/>
      <c r="O176" s="90"/>
      <c r="P176" s="90"/>
      <c r="R176" s="90"/>
      <c r="S176" s="90"/>
      <c r="T176" s="90"/>
      <c r="U176" s="90"/>
      <c r="V176" s="90"/>
      <c r="W176" s="90"/>
      <c r="X176" s="90"/>
    </row>
    <row r="177" spans="2:23" hidden="1" x14ac:dyDescent="0.2">
      <c r="B177" s="73" t="s">
        <v>210</v>
      </c>
      <c r="C177" s="88" t="e">
        <f>C116*100&amp;"% o brynwyr potensial am y tro cyntaf sy'n mynd ymlaen i brynu eiddo. "</f>
        <v>#VALUE!</v>
      </c>
      <c r="D177" s="88"/>
      <c r="E177" s="88"/>
      <c r="F177" s="88"/>
      <c r="G177" s="88"/>
      <c r="I177" s="90"/>
      <c r="J177" s="90"/>
      <c r="K177" s="90"/>
      <c r="L177" s="90"/>
      <c r="M177" s="90"/>
      <c r="N177" s="90"/>
      <c r="O177" s="90"/>
      <c r="P177" s="90"/>
      <c r="R177" s="90"/>
      <c r="S177" s="90"/>
      <c r="T177" s="90"/>
      <c r="U177" s="90"/>
      <c r="V177" s="90"/>
      <c r="W177" s="90"/>
    </row>
    <row r="178" spans="2:23" hidden="1" x14ac:dyDescent="0.2">
      <c r="B178" s="73" t="s">
        <v>211</v>
      </c>
      <c r="C178" s="88" t="str">
        <f>"Gall aelwydydd sy'n gwario "&amp;C108*100&amp;"% o incwm yr aelwyd ar rent preifat canolrifol fforddio rhent preifat,"</f>
        <v>Gall aelwydydd sy'n gwario 30% o incwm yr aelwyd ar rent preifat canolrifol fforddio rhent preifat,</v>
      </c>
      <c r="D178" s="88"/>
      <c r="E178" s="88"/>
      <c r="F178" s="88"/>
      <c r="G178" s="88"/>
      <c r="I178" s="88"/>
    </row>
    <row r="179" spans="2:23" hidden="1" x14ac:dyDescent="0.2">
      <c r="B179" s="73" t="s">
        <v>213</v>
      </c>
      <c r="C179" s="88" t="str">
        <f>"Mae aelwydydd sy'n gwario "&amp;C117*100&amp;"% o incwm yr aelwyd ar rent preifat 30 canradd yn addas ar gyfer dai cymdeithasol."</f>
        <v>Mae aelwydydd sy'n gwario 35% o incwm yr aelwyd ar rent preifat 30 canradd yn addas ar gyfer dai cymdeithasol.</v>
      </c>
      <c r="D179" s="88"/>
      <c r="E179" s="88"/>
      <c r="F179" s="88"/>
      <c r="G179" s="88"/>
      <c r="I179" s="88"/>
    </row>
    <row r="180" spans="2:23" hidden="1" x14ac:dyDescent="0.2">
      <c r="B180" s="73" t="s">
        <v>82</v>
      </c>
      <c r="C180" s="88" t="str">
        <f>" a fydd yn cymryd "&amp;'Angen Presennol Nas Diwallwyd'!C28&amp;" mlynedd i'w diwallu."</f>
        <v xml:space="preserve"> a fydd yn cymryd 5 mlynedd i'w diwallu.</v>
      </c>
      <c r="D180" s="88"/>
      <c r="E180" s="88"/>
      <c r="F180" s="88"/>
      <c r="G180" s="88"/>
      <c r="I180" s="88"/>
    </row>
    <row r="181" spans="2:23" hidden="1" x14ac:dyDescent="0.2">
      <c r="B181" s="73" t="s">
        <v>83</v>
      </c>
      <c r="C181" s="88" t="str">
        <f>". Mae'r newid blynyddol i incwm canolrifol yr aelwyd yn seiliedig ar "&amp;IF(D14="Arall","amcangyfrifon defnyddwyr","amcangyfrifon wedi'u rhagosod")</f>
        <v>. Mae'r newid blynyddol i incwm canolrifol yr aelwyd yn seiliedig ar amcangyfrifon wedi'u rhagosod</v>
      </c>
      <c r="D181" s="88"/>
      <c r="E181" s="88"/>
      <c r="F181" s="88"/>
      <c r="G181" s="88"/>
      <c r="I181" s="88"/>
    </row>
    <row r="182" spans="2:23" hidden="1" x14ac:dyDescent="0.2">
      <c r="B182" s="73" t="s">
        <v>84</v>
      </c>
      <c r="C182" s="88" t="str">
        <f>", mae'r newid blynyddol i ddosbarthiad incwm yr aelwyd yn seiliedig ar "&amp;IF(D15="Arall","amcangyfrifon defnyddwyr","amcangyfrifon wedi'u rhagosod")</f>
        <v>, mae'r newid blynyddol i ddosbarthiad incwm yr aelwyd yn seiliedig ar amcangyfrifon wedi'u rhagosod</v>
      </c>
      <c r="D182" s="88"/>
      <c r="E182" s="88"/>
      <c r="F182" s="88"/>
      <c r="G182" s="88"/>
      <c r="I182" s="88"/>
    </row>
    <row r="183" spans="2:23" hidden="1" x14ac:dyDescent="0.2">
      <c r="B183" s="73" t="s">
        <v>212</v>
      </c>
      <c r="C183" s="88" t="str">
        <f>", mae'r newid blynyddol i brisiau tai yn seiliedig ar "&amp;IF(D25="Arall","amcangyfrifon defnyddwyr","amcangyfrifon wedi'u rhagosod")</f>
        <v>, mae'r newid blynyddol i brisiau tai yn seiliedig ar amcangyfrifon wedi'u rhagosod</v>
      </c>
      <c r="D183" s="88"/>
      <c r="E183" s="88"/>
      <c r="F183" s="88"/>
      <c r="G183" s="88"/>
      <c r="I183" s="88"/>
    </row>
    <row r="184" spans="2:23" hidden="1" x14ac:dyDescent="0.2">
      <c r="B184" s="73" t="s">
        <v>130</v>
      </c>
      <c r="C184" s="88" t="str">
        <f>" ac mae'r newid blynyddol i brisiau rhenti yn seiliedig ar "&amp;IF(D16="Arall","amcangyfrifon y defnyddwyr","amcangyfrifon wedi'u rhagosod.")</f>
        <v xml:space="preserve"> ac mae'r newid blynyddol i brisiau rhenti yn seiliedig ar amcangyfrifon wedi'u rhagosod.</v>
      </c>
      <c r="D184" s="88"/>
      <c r="E184" s="88"/>
      <c r="F184" s="88"/>
      <c r="G184" s="88"/>
      <c r="I184" s="88"/>
    </row>
    <row r="185" spans="2:23" hidden="1" x14ac:dyDescent="0.2">
      <c r="C185" s="88"/>
      <c r="D185" s="88"/>
      <c r="E185" s="88"/>
      <c r="F185" s="88"/>
      <c r="G185" s="88"/>
      <c r="I185" s="88"/>
    </row>
    <row r="186" spans="2:23" hidden="1" x14ac:dyDescent="0.2">
      <c r="B186" s="72" t="s">
        <v>217</v>
      </c>
      <c r="C186" s="88"/>
      <c r="D186" s="88"/>
      <c r="E186" s="88"/>
      <c r="F186" s="88"/>
      <c r="G186" s="88"/>
      <c r="I186" s="88"/>
    </row>
    <row r="187" spans="2:23" hidden="1" x14ac:dyDescent="0.2">
      <c r="B187" s="92" t="str">
        <f>C169&amp;E169&amp;C170&amp;F169&amp;C171&amp;C180&amp;H169&amp;C172&amp;I169&amp;C174&amp;C181&amp;C182&amp;C184</f>
        <v>Mae'r ffigurau isod yn rhannu'r amcangyfrifon o'r angen o ran tai yn Gogledd Cymru yn ddwy ddeiliadaeth, ac maent wedi'i seilio ar y rhagdybiaethau canlynol.Mae amcangyfrifon sylfaenol yr unedau tai ychwanegol wedi'u seilio ar  amcanestyniadau aelwydydd gan Llywodraeth Cymru sy'n seiliedig ar 2014 (Prif Amcanestyniadau), ac amcangyfrif o 5645 aelwydydd o ran angen presennol nas diwallwyd  a fydd yn cymryd 5 mlynedd i'w diwallu.Mae data ar incwm yn seiliedig ar  Ddata Llywodraeth Cymru ac mae data ar renti preifat yn seiliedig ar  Ddata Llywodraeth Cymru. Mae'r newid blynyddol i incwm canolrifol yr aelwyd yn seiliedig ar amcangyfrifon wedi'u rhagosod, mae'r newid blynyddol i ddosbarthiad incwm yr aelwyd yn seiliedig ar amcangyfrifon wedi'u rhagosod ac mae'r newid blynyddol i brisiau rhenti yn seiliedig ar amcangyfrifon wedi'u rhagosod.</v>
      </c>
      <c r="C187" s="88"/>
      <c r="D187" s="88"/>
      <c r="E187" s="88"/>
      <c r="F187" s="88"/>
      <c r="G187" s="88"/>
      <c r="I187" s="88"/>
    </row>
    <row r="188" spans="2:23" hidden="1" x14ac:dyDescent="0.2">
      <c r="B188" s="72" t="str">
        <f>IF(C133=1,"Ni fydd amcangyfrifon rhaniad 2 ddeiliadaeth yn ymddangos hyd nes bod y tabl uchod wedi'i gwblhau.",B187)</f>
        <v>Mae'r ffigurau isod yn rhannu'r amcangyfrifon o'r angen o ran tai yn Gogledd Cymru yn ddwy ddeiliadaeth, ac maent wedi'i seilio ar y rhagdybiaethau canlynol.Mae amcangyfrifon sylfaenol yr unedau tai ychwanegol wedi'u seilio ar  amcanestyniadau aelwydydd gan Llywodraeth Cymru sy'n seiliedig ar 2014 (Prif Amcanestyniadau), ac amcangyfrif o 5645 aelwydydd o ran angen presennol nas diwallwyd  a fydd yn cymryd 5 mlynedd i'w diwallu.Mae data ar incwm yn seiliedig ar  Ddata Llywodraeth Cymru ac mae data ar renti preifat yn seiliedig ar  Ddata Llywodraeth Cymru. Mae'r newid blynyddol i incwm canolrifol yr aelwyd yn seiliedig ar amcangyfrifon wedi'u rhagosod, mae'r newid blynyddol i ddosbarthiad incwm yr aelwyd yn seiliedig ar amcangyfrifon wedi'u rhagosod ac mae'r newid blynyddol i brisiau rhenti yn seiliedig ar amcangyfrifon wedi'u rhagosod.</v>
      </c>
      <c r="C188" s="88"/>
      <c r="D188" s="88"/>
      <c r="E188" s="88"/>
      <c r="F188" s="88"/>
      <c r="G188" s="88"/>
      <c r="I188" s="88"/>
    </row>
    <row r="189" spans="2:23" hidden="1" x14ac:dyDescent="0.2">
      <c r="B189" s="72"/>
      <c r="C189" s="88"/>
      <c r="D189" s="88"/>
      <c r="E189" s="88"/>
      <c r="F189" s="88"/>
      <c r="G189" s="88"/>
      <c r="I189" s="88"/>
    </row>
    <row r="190" spans="2:23" hidden="1" x14ac:dyDescent="0.2">
      <c r="B190" s="72" t="s">
        <v>339</v>
      </c>
      <c r="C190" s="88"/>
      <c r="D190" s="88"/>
      <c r="E190" s="88"/>
      <c r="F190" s="88"/>
      <c r="G190" s="88"/>
      <c r="I190" s="88"/>
    </row>
    <row r="191" spans="2:23" hidden="1" x14ac:dyDescent="0.2">
      <c r="B191" s="73" t="e">
        <f>D169&amp;G169&amp;C173&amp;C183&amp;J169&amp;C179</f>
        <v>#VALUE!</v>
      </c>
      <c r="C191" s="88"/>
      <c r="D191" s="88"/>
      <c r="E191" s="88"/>
      <c r="F191" s="88"/>
      <c r="G191" s="88"/>
      <c r="I191" s="88"/>
    </row>
    <row r="192" spans="2:23" hidden="1" x14ac:dyDescent="0.2">
      <c r="B192" s="72" t="str">
        <f>IF(C145=1,"Ni fydd amcangyfrifon rhaniad 4 deiliadaeth yn ymddangos hyd nes bod y tabl uchod wedi'i gwblhau.",B191)</f>
        <v>Ni fydd amcangyfrifon rhaniad 4 deiliadaeth yn ymddangos hyd nes bod y tabl uchod wedi'i gwblhau.</v>
      </c>
      <c r="C192" s="88"/>
      <c r="D192" s="88"/>
      <c r="E192" s="88"/>
      <c r="F192" s="88"/>
      <c r="G192" s="88"/>
      <c r="I192" s="88"/>
    </row>
    <row r="193" spans="2:9" hidden="1" x14ac:dyDescent="0.2">
      <c r="C193" s="88"/>
      <c r="D193" s="88"/>
      <c r="E193" s="88"/>
      <c r="F193" s="88"/>
      <c r="G193" s="88"/>
      <c r="I193" s="88"/>
    </row>
    <row r="194" spans="2:9" hidden="1" x14ac:dyDescent="0.2">
      <c r="B194" s="73" t="s">
        <v>236</v>
      </c>
      <c r="I194" s="88"/>
    </row>
    <row r="195" spans="2:9" hidden="1" x14ac:dyDescent="0.2">
      <c r="B195" s="73" t="s">
        <v>203</v>
      </c>
      <c r="I195" s="88"/>
    </row>
    <row r="196" spans="2:9" hidden="1" x14ac:dyDescent="0.2">
      <c r="B196" s="73" t="s">
        <v>237</v>
      </c>
      <c r="I196" s="88"/>
    </row>
    <row r="197" spans="2:9" hidden="1" x14ac:dyDescent="0.2">
      <c r="B197" s="73" t="s">
        <v>204</v>
      </c>
      <c r="I197" s="88"/>
    </row>
    <row r="198" spans="2:9" hidden="1" x14ac:dyDescent="0.2">
      <c r="B198" s="75" t="str">
        <f>"'Amcanestyniadau o Aelwyd'"</f>
        <v>'Amcanestyniadau o Aelwyd'</v>
      </c>
      <c r="I198" s="88"/>
    </row>
    <row r="199" spans="2:9" hidden="1" x14ac:dyDescent="0.2">
      <c r="B199" s="73" t="str">
        <f>"'Angen Presennol Nas Diwallwyd'"</f>
        <v>'Angen Presennol Nas Diwallwyd'</v>
      </c>
      <c r="I199" s="88"/>
    </row>
    <row r="200" spans="2:9" hidden="1" x14ac:dyDescent="0.2">
      <c r="B200" s="73" t="str">
        <f>"'Incwm (Gogledd)'"</f>
        <v>'Incwm (Gogledd)'</v>
      </c>
      <c r="I200" s="88"/>
    </row>
    <row r="201" spans="2:9" hidden="1" x14ac:dyDescent="0.2">
      <c r="B201" s="73" t="str">
        <f>"'Prisiau Tai (Gogledd)'"</f>
        <v>'Prisiau Tai (Gogledd)'</v>
      </c>
      <c r="I201" s="88"/>
    </row>
    <row r="202" spans="2:9" hidden="1" x14ac:dyDescent="0.2">
      <c r="B202" s="73" t="str">
        <f>"'Prisiau Rhenti'"</f>
        <v>'Prisiau Rhenti'</v>
      </c>
      <c r="I202" s="88"/>
    </row>
    <row r="203" spans="2:9" hidden="1" x14ac:dyDescent="0.2">
      <c r="B203" s="73" t="str">
        <f>"'Rhagdybiaeth Blynyddol'"</f>
        <v>'Rhagdybiaeth Blynyddol'</v>
      </c>
      <c r="I203" s="88"/>
    </row>
    <row r="204" spans="2:9" hidden="1" x14ac:dyDescent="0.2">
      <c r="B204" s="73" t="str">
        <f>"'Rhagolygon y Dyfodol'"</f>
        <v>'Rhagolygon y Dyfodol'</v>
      </c>
      <c r="I204" s="88"/>
    </row>
    <row r="205" spans="2:9" x14ac:dyDescent="0.2">
      <c r="I205" s="88"/>
    </row>
    <row r="206" spans="2:9" x14ac:dyDescent="0.2">
      <c r="I206" s="88"/>
    </row>
    <row r="207" spans="2:9" x14ac:dyDescent="0.2">
      <c r="I207" s="88"/>
    </row>
  </sheetData>
  <sheetProtection sheet="1" objects="1" scenarios="1"/>
  <mergeCells count="32">
    <mergeCell ref="F25:I25"/>
    <mergeCell ref="F11:I11"/>
    <mergeCell ref="F12:I12"/>
    <mergeCell ref="F14:I14"/>
    <mergeCell ref="F21:I21"/>
    <mergeCell ref="F22:I22"/>
    <mergeCell ref="F20:I20"/>
    <mergeCell ref="I104:J104"/>
    <mergeCell ref="B28:J32"/>
    <mergeCell ref="I62:J62"/>
    <mergeCell ref="I63:J63"/>
    <mergeCell ref="B66:J69"/>
    <mergeCell ref="I101:J101"/>
    <mergeCell ref="I102:J102"/>
    <mergeCell ref="I99:J99"/>
    <mergeCell ref="B52:J53"/>
    <mergeCell ref="F4:I4"/>
    <mergeCell ref="B2:I2"/>
    <mergeCell ref="B1:C1"/>
    <mergeCell ref="I103:J103"/>
    <mergeCell ref="F15:I15"/>
    <mergeCell ref="F16:I16"/>
    <mergeCell ref="B17:B25"/>
    <mergeCell ref="F17:I17"/>
    <mergeCell ref="F18:I18"/>
    <mergeCell ref="B5:B16"/>
    <mergeCell ref="F5:I5"/>
    <mergeCell ref="F6:I6"/>
    <mergeCell ref="F7:I7"/>
    <mergeCell ref="F8:I8"/>
    <mergeCell ref="F9:I9"/>
    <mergeCell ref="F23:I23"/>
  </mergeCells>
  <conditionalFormatting sqref="E6:E9 E11:E12 E14:E16 E25:E27 E18 E20:E23">
    <cfRule type="expression" dxfId="15" priority="4">
      <formula>E6="Y"</formula>
    </cfRule>
  </conditionalFormatting>
  <conditionalFormatting sqref="E6:E12 E14:E16 E18 E20:E27">
    <cfRule type="expression" dxfId="14" priority="3">
      <formula>E6="N"</formula>
    </cfRule>
  </conditionalFormatting>
  <conditionalFormatting sqref="E13">
    <cfRule type="expression" dxfId="13" priority="2">
      <formula>E13="N"</formula>
    </cfRule>
  </conditionalFormatting>
  <conditionalFormatting sqref="E19">
    <cfRule type="expression" dxfId="12" priority="1">
      <formula>E19="N"</formula>
    </cfRule>
  </conditionalFormatting>
  <pageMargins left="0.7" right="0.7" top="0.75" bottom="0.75" header="0.3" footer="0.3"/>
  <pageSetup paperSize="9" scale="33" orientation="portrait" horizontalDpi="300"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pageSetUpPr fitToPage="1"/>
  </sheetPr>
  <dimension ref="A1:X207"/>
  <sheetViews>
    <sheetView showGridLines="0" zoomScale="90" zoomScaleNormal="90" workbookViewId="0"/>
  </sheetViews>
  <sheetFormatPr defaultColWidth="9.140625" defaultRowHeight="12.75" x14ac:dyDescent="0.2"/>
  <cols>
    <col min="1" max="1" width="4.5703125" style="73" customWidth="1"/>
    <col min="2" max="2" width="17.85546875" style="73" customWidth="1"/>
    <col min="3" max="3" width="42.5703125" style="73" customWidth="1"/>
    <col min="4" max="4" width="20.5703125" style="73" customWidth="1"/>
    <col min="5" max="5" width="18.42578125" style="73" customWidth="1"/>
    <col min="6" max="6" width="15.5703125" style="73" customWidth="1"/>
    <col min="7" max="7" width="12.85546875" style="73" customWidth="1"/>
    <col min="8" max="14" width="13" style="73" customWidth="1"/>
    <col min="15" max="16384" width="9.140625" style="73"/>
  </cols>
  <sheetData>
    <row r="1" spans="1:11" ht="26.25" customHeight="1" x14ac:dyDescent="0.2">
      <c r="B1" s="368" t="s">
        <v>116</v>
      </c>
      <c r="C1" s="368"/>
      <c r="D1" s="101" t="s">
        <v>121</v>
      </c>
    </row>
    <row r="2" spans="1:11" ht="27" customHeight="1" x14ac:dyDescent="0.2">
      <c r="B2" s="378" t="s">
        <v>123</v>
      </c>
      <c r="C2" s="379"/>
      <c r="D2" s="379"/>
      <c r="E2" s="379"/>
      <c r="F2" s="379"/>
      <c r="G2" s="379"/>
      <c r="H2" s="379"/>
      <c r="I2" s="380"/>
    </row>
    <row r="4" spans="1:11" ht="30.75" customHeight="1" x14ac:dyDescent="0.25">
      <c r="C4" s="93" t="s">
        <v>74</v>
      </c>
      <c r="D4" s="100" t="s">
        <v>118</v>
      </c>
      <c r="E4" s="253" t="s">
        <v>233</v>
      </c>
      <c r="F4" s="362" t="s">
        <v>119</v>
      </c>
      <c r="G4" s="362"/>
      <c r="H4" s="362"/>
      <c r="I4" s="363"/>
      <c r="K4" s="70" t="s">
        <v>200</v>
      </c>
    </row>
    <row r="5" spans="1:11" ht="24.75" customHeight="1" x14ac:dyDescent="0.2">
      <c r="B5" s="354" t="s">
        <v>263</v>
      </c>
      <c r="C5" s="124" t="s">
        <v>78</v>
      </c>
      <c r="D5" s="125"/>
      <c r="E5" s="126"/>
      <c r="F5" s="375"/>
      <c r="G5" s="375"/>
      <c r="H5" s="375"/>
      <c r="I5" s="376"/>
    </row>
    <row r="6" spans="1:11" ht="15" customHeight="1" x14ac:dyDescent="0.2">
      <c r="A6" s="104"/>
      <c r="B6" s="355"/>
      <c r="C6" s="127" t="s">
        <v>133</v>
      </c>
      <c r="D6" s="128" t="str">
        <f>'Rhaniad y Ddeiliadaeth (Cymru)'!D6</f>
        <v>Prif Amcanestyniadau</v>
      </c>
      <c r="E6" s="129" t="str">
        <f>IF(OR(F6=$B$195,F6=$B$196),"Y","N")</f>
        <v>Y</v>
      </c>
      <c r="F6" s="364" t="str">
        <f>IF(D6="",B194,IF(D6="Arall",IF('Amcanestyniadau o Aelwyd'!J24=0,B197&amp;B198,B196),B195))</f>
        <v>Defnyddiwyd Data Wedi'i Ragosod</v>
      </c>
      <c r="G6" s="364"/>
      <c r="H6" s="364"/>
      <c r="I6" s="361"/>
    </row>
    <row r="7" spans="1:11" ht="15" customHeight="1" x14ac:dyDescent="0.2">
      <c r="A7" s="104"/>
      <c r="B7" s="355"/>
      <c r="C7" s="127" t="s">
        <v>126</v>
      </c>
      <c r="D7" s="128" t="str">
        <f>'Rhaniad y Ddeiliadaeth (Cymru)'!D7</f>
        <v>Amcangyfrifon LlC</v>
      </c>
      <c r="E7" s="129" t="str">
        <f>IF(OR(F7=$B$195,F7=$B$196),"Y","N")</f>
        <v>Y</v>
      </c>
      <c r="F7" s="361" t="str">
        <f>IF(D7="",B194,IF(D7="Arall",IF(ISBLANK('Angen Presennol Nas Diwallwyd'!C19),B197&amp;B199,B196),B195))</f>
        <v>Defnyddiwyd Data Wedi'i Ragosod</v>
      </c>
      <c r="G7" s="361"/>
      <c r="H7" s="361"/>
      <c r="I7" s="361"/>
    </row>
    <row r="8" spans="1:11" ht="15" customHeight="1" x14ac:dyDescent="0.2">
      <c r="A8" s="104"/>
      <c r="B8" s="355"/>
      <c r="C8" s="127" t="s">
        <v>79</v>
      </c>
      <c r="D8" s="128" t="str">
        <f>'Rhaniad y Ddeiliadaeth (Cymru)'!D8</f>
        <v>Amcangyfrifon LlC</v>
      </c>
      <c r="E8" s="129" t="str">
        <f>IF(OR(F8=$B$195,F8=$B$196),"Y","N")</f>
        <v>Y</v>
      </c>
      <c r="F8" s="361" t="str">
        <f>IF(D8="",B194,IF(D8="Arall",IF('Incwm (Canol. &amp; De-orll)'!N85=0,B196,B197&amp;B200),B195))</f>
        <v>Defnyddiwyd Data Wedi'i Ragosod</v>
      </c>
      <c r="G8" s="361"/>
      <c r="H8" s="361"/>
      <c r="I8" s="361"/>
    </row>
    <row r="9" spans="1:11" ht="15" customHeight="1" x14ac:dyDescent="0.2">
      <c r="A9" s="104"/>
      <c r="B9" s="355"/>
      <c r="C9" s="127" t="s">
        <v>80</v>
      </c>
      <c r="D9" s="128" t="str">
        <f>'Rhaniad y Ddeiliadaeth (Cymru)'!D9</f>
        <v>Data LlC ar Renti</v>
      </c>
      <c r="E9" s="129" t="str">
        <f>IF(OR(F9=$B$195,F9=$B$196),"Y","N")</f>
        <v>Y</v>
      </c>
      <c r="F9" s="364" t="str">
        <f>IF(D9="",B194,IF(D9="Arall",IF(OR(ISBLANK('Prisiau Rhenti'!C20),ISBLANK('Prisiau Rhenti'!D20)),B197&amp;B202,B196),B195))</f>
        <v>Defnyddiwyd Data Wedi'i Ragosod</v>
      </c>
      <c r="G9" s="364"/>
      <c r="H9" s="364"/>
      <c r="I9" s="361"/>
    </row>
    <row r="10" spans="1:11" ht="24.75" customHeight="1" x14ac:dyDescent="0.2">
      <c r="A10" s="104"/>
      <c r="B10" s="355"/>
      <c r="C10" s="124" t="s">
        <v>124</v>
      </c>
      <c r="D10" s="125"/>
      <c r="E10" s="130"/>
      <c r="F10" s="125"/>
      <c r="G10" s="131"/>
      <c r="H10" s="125"/>
      <c r="I10" s="132"/>
    </row>
    <row r="11" spans="1:11" ht="13.5" customHeight="1" x14ac:dyDescent="0.2">
      <c r="A11" s="104"/>
      <c r="B11" s="355"/>
      <c r="C11" s="133" t="s">
        <v>81</v>
      </c>
      <c r="D11" s="134" t="str">
        <f>'Rhaniad y Ddeiliadaeth (Cymru)'!D11</f>
        <v>Wedi'i ragosod</v>
      </c>
      <c r="E11" s="129" t="str">
        <f>IF(OR(F11=$B$195,F11=$B$196),"Y","N")</f>
        <v>Y</v>
      </c>
      <c r="F11" s="361" t="str">
        <f>'Rhaniad y Ddeiliadaeth (Cymru)'!F11:I11</f>
        <v>Defnyddiwyd Data Wedi'i Ragosod</v>
      </c>
      <c r="G11" s="361"/>
      <c r="H11" s="361"/>
      <c r="I11" s="361"/>
    </row>
    <row r="12" spans="1:11" ht="15" customHeight="1" x14ac:dyDescent="0.2">
      <c r="A12" s="104"/>
      <c r="B12" s="355"/>
      <c r="C12" s="133" t="s">
        <v>128</v>
      </c>
      <c r="D12" s="134" t="str">
        <f>'Rhaniad y Ddeiliadaeth (Cymru)'!D12</f>
        <v>Wedi'i ragosod</v>
      </c>
      <c r="E12" s="129" t="str">
        <f>IF(OR(F12=$B$195,F12=$B$196),"Y","N")</f>
        <v>Y</v>
      </c>
      <c r="F12" s="364" t="str">
        <f>'Rhaniad y Ddeiliadaeth (Cymru)'!F12:I12</f>
        <v>Defnyddiwyd Data Wedi'i Ragosod</v>
      </c>
      <c r="G12" s="364"/>
      <c r="H12" s="364"/>
      <c r="I12" s="361"/>
    </row>
    <row r="13" spans="1:11" ht="24.75" customHeight="1" x14ac:dyDescent="0.2">
      <c r="A13" s="104"/>
      <c r="B13" s="355"/>
      <c r="C13" s="124" t="s">
        <v>125</v>
      </c>
      <c r="D13" s="125"/>
      <c r="E13" s="130"/>
      <c r="F13" s="125"/>
      <c r="G13" s="131"/>
      <c r="H13" s="125"/>
      <c r="I13" s="132"/>
    </row>
    <row r="14" spans="1:11" ht="29.25" customHeight="1" x14ac:dyDescent="0.2">
      <c r="A14" s="104"/>
      <c r="B14" s="355"/>
      <c r="C14" s="135" t="s">
        <v>83</v>
      </c>
      <c r="D14" s="134" t="str">
        <f>'Rhaniad y Ddeiliadaeth (Cymru)'!D14</f>
        <v>Wedi'i ragosod</v>
      </c>
      <c r="E14" s="129" t="str">
        <f>IF(OR(F14=$B$195,F14=$B$196),"Y","N")</f>
        <v>Y</v>
      </c>
      <c r="F14" s="364" t="str">
        <f>'Rhaniad y Ddeiliadaeth (Cymru)'!F14:I14</f>
        <v>Defnyddiwyd Data Wedi'i Ragosod</v>
      </c>
      <c r="G14" s="364"/>
      <c r="H14" s="364"/>
      <c r="I14" s="361"/>
    </row>
    <row r="15" spans="1:11" ht="29.25" customHeight="1" x14ac:dyDescent="0.2">
      <c r="A15" s="104"/>
      <c r="B15" s="355"/>
      <c r="C15" s="135" t="s">
        <v>129</v>
      </c>
      <c r="D15" s="128" t="str">
        <f>'Rhaniad y Ddeiliadaeth (Cymru)'!D15</f>
        <v>Mwy o Anghydraddoldeb</v>
      </c>
      <c r="E15" s="129" t="str">
        <f>IF(OR(F15=$B$195,F15=$B$196),"Y","N")</f>
        <v>Y</v>
      </c>
      <c r="F15" s="364" t="str">
        <f>'Rhaniad y Ddeiliadaeth (Cymru)'!F15:I15</f>
        <v>Defnyddiwyd Data Wedi'i Ragosod</v>
      </c>
      <c r="G15" s="364"/>
      <c r="H15" s="364"/>
      <c r="I15" s="361"/>
    </row>
    <row r="16" spans="1:11" ht="17.25" customHeight="1" x14ac:dyDescent="0.2">
      <c r="A16" s="104"/>
      <c r="B16" s="356"/>
      <c r="C16" s="136" t="s">
        <v>130</v>
      </c>
      <c r="D16" s="134" t="str">
        <f>'Rhaniad y Ddeiliadaeth (Cymru)'!D16</f>
        <v>Wedi'i ragosod</v>
      </c>
      <c r="E16" s="137" t="str">
        <f>IF(OR(F16=$B$195,F16=$B$196),"Y","N")</f>
        <v>Y</v>
      </c>
      <c r="F16" s="364" t="str">
        <f>'Rhaniad y Ddeiliadaeth (Cymru)'!F16:I16</f>
        <v>Defnyddiwyd Data Wedi'i Ragosod</v>
      </c>
      <c r="G16" s="364"/>
      <c r="H16" s="364"/>
      <c r="I16" s="361"/>
    </row>
    <row r="17" spans="1:11" ht="24.75" customHeight="1" x14ac:dyDescent="0.2">
      <c r="A17" s="104"/>
      <c r="B17" s="357" t="s">
        <v>264</v>
      </c>
      <c r="C17" s="105" t="s">
        <v>323</v>
      </c>
      <c r="D17" s="139"/>
      <c r="E17" s="120"/>
      <c r="F17" s="381"/>
      <c r="G17" s="381"/>
      <c r="H17" s="381"/>
      <c r="I17" s="382"/>
    </row>
    <row r="18" spans="1:11" ht="31.5" customHeight="1" x14ac:dyDescent="0.2">
      <c r="A18" s="104"/>
      <c r="B18" s="358"/>
      <c r="C18" s="95" t="s">
        <v>86</v>
      </c>
      <c r="D18" s="118" t="str">
        <f>'Rhaniad y Ddeiliadaeth (Cymru)'!D18</f>
        <v>Data Cofrestrfa Tir</v>
      </c>
      <c r="E18" s="119" t="str">
        <f>IF(OR(F18=$B$195,F18=$B$196),"Y","N")</f>
        <v>Y</v>
      </c>
      <c r="F18" s="384" t="str">
        <f>IF(D18="",B194,IF(D18="Arall",IF('Prisiau Tai (Canol. &amp; De-orll)'!N85=1,B197&amp;B201,B196),B195))</f>
        <v>Defnyddiwyd Data Wedi'i Ragosod</v>
      </c>
      <c r="G18" s="384"/>
      <c r="H18" s="384"/>
      <c r="I18" s="385"/>
    </row>
    <row r="19" spans="1:11" ht="24.75" customHeight="1" x14ac:dyDescent="0.2">
      <c r="A19" s="104"/>
      <c r="B19" s="358"/>
      <c r="C19" s="94" t="s">
        <v>324</v>
      </c>
      <c r="D19" s="96"/>
      <c r="E19" s="121"/>
      <c r="F19" s="96"/>
      <c r="G19" s="97"/>
      <c r="H19" s="96"/>
      <c r="I19" s="98"/>
    </row>
    <row r="20" spans="1:11" ht="13.5" customHeight="1" x14ac:dyDescent="0.2">
      <c r="A20" s="104"/>
      <c r="B20" s="358"/>
      <c r="C20" s="256" t="s">
        <v>88</v>
      </c>
      <c r="D20" s="118" t="str">
        <f>'Rhaniad y Ddeiliadaeth (Cymru)'!D20</f>
        <v>Wedi'i ragosod</v>
      </c>
      <c r="E20" s="119" t="str">
        <f>IF(OR(F20=$B$195,F20=$B$196),"Y","N")</f>
        <v>Y</v>
      </c>
      <c r="F20" s="367" t="str">
        <f>'Rhaniad y Ddeiliadaeth (Cymru)'!F20:I20</f>
        <v>Defnyddiwyd Data Wedi'i Ragosod</v>
      </c>
      <c r="G20" s="367"/>
      <c r="H20" s="367"/>
      <c r="I20" s="367"/>
    </row>
    <row r="21" spans="1:11" ht="15" customHeight="1" x14ac:dyDescent="0.2">
      <c r="A21" s="104"/>
      <c r="B21" s="358"/>
      <c r="C21" s="256" t="s">
        <v>89</v>
      </c>
      <c r="D21" s="118">
        <f>'Rhaniad y Ddeiliadaeth (Cymru)'!D21</f>
        <v>25</v>
      </c>
      <c r="E21" s="119" t="str">
        <f>IF(OR(F21=$B$195,F21=$B$196),"Y","N")</f>
        <v>Y</v>
      </c>
      <c r="F21" s="367" t="str">
        <f>'Rhaniad y Ddeiliadaeth (Cymru)'!F21:I21</f>
        <v>Defnyddiwyd Data Wedi'i Ragosod</v>
      </c>
      <c r="G21" s="367"/>
      <c r="H21" s="367"/>
      <c r="I21" s="367"/>
    </row>
    <row r="22" spans="1:11" ht="34.5" customHeight="1" x14ac:dyDescent="0.2">
      <c r="A22" s="104"/>
      <c r="B22" s="358"/>
      <c r="C22" s="257" t="s">
        <v>131</v>
      </c>
      <c r="D22" s="258" t="str">
        <f>'Rhaniad y Ddeiliadaeth (Cymru)'!D22</f>
        <v>Gwerth defnyddiwr (nid oes gwerth wedi'i ragosod)</v>
      </c>
      <c r="E22" s="119" t="str">
        <f>IF(OR(F22=$B$195,F22=$B$196),"Y","N")</f>
        <v>N</v>
      </c>
      <c r="F22" s="367" t="str">
        <f>'Rhaniad y Ddeiliadaeth (Cymru)'!F22:I22</f>
        <v>Rhowch ddata'r defnyddiwr ar y daflen:'Rhagdybiaeth Blynyddol'</v>
      </c>
      <c r="G22" s="367"/>
      <c r="H22" s="367"/>
      <c r="I22" s="367"/>
    </row>
    <row r="23" spans="1:11" ht="25.5" customHeight="1" x14ac:dyDescent="0.2">
      <c r="A23" s="104"/>
      <c r="B23" s="358"/>
      <c r="C23" s="256" t="s">
        <v>90</v>
      </c>
      <c r="D23" s="118" t="str">
        <f>'Rhaniad y Ddeiliadaeth (Cymru)'!D23</f>
        <v>Wedi'i ragosod</v>
      </c>
      <c r="E23" s="119" t="str">
        <f>IF(OR(F23=$B$195,F23=$B$196),"Y","N")</f>
        <v>Y</v>
      </c>
      <c r="F23" s="367" t="str">
        <f>'Rhaniad y Ddeiliadaeth (Cymru)'!F23:I23</f>
        <v>Defnyddiwyd Data Wedi'i Ragosod</v>
      </c>
      <c r="G23" s="367"/>
      <c r="H23" s="367"/>
      <c r="I23" s="367"/>
    </row>
    <row r="24" spans="1:11" ht="24.75" customHeight="1" x14ac:dyDescent="0.2">
      <c r="A24" s="104"/>
      <c r="B24" s="358"/>
      <c r="C24" s="94" t="s">
        <v>325</v>
      </c>
      <c r="D24" s="96"/>
      <c r="E24" s="121"/>
      <c r="F24" s="96"/>
      <c r="G24" s="97"/>
      <c r="H24" s="96"/>
      <c r="I24" s="98"/>
    </row>
    <row r="25" spans="1:11" ht="21.75" customHeight="1" x14ac:dyDescent="0.2">
      <c r="A25" s="104"/>
      <c r="B25" s="359"/>
      <c r="C25" s="300" t="s">
        <v>212</v>
      </c>
      <c r="D25" s="120" t="str">
        <f>'Rhaniad y Ddeiliadaeth (Cymru)'!D25</f>
        <v>Wedi'i ragosod</v>
      </c>
      <c r="E25" s="121" t="str">
        <f>IF(OR(F25=$B$195,F25=$B$196),"Y","N")</f>
        <v>Y</v>
      </c>
      <c r="F25" s="370" t="str">
        <f>'Rhaniad y Ddeiliadaeth (Cymru)'!F25:I25</f>
        <v>Defnyddiwyd Data Wedi'i Ragosod</v>
      </c>
      <c r="G25" s="370"/>
      <c r="H25" s="370"/>
      <c r="I25" s="370"/>
    </row>
    <row r="26" spans="1:11" ht="15" customHeight="1" x14ac:dyDescent="0.2">
      <c r="C26" s="76"/>
      <c r="D26" s="77"/>
      <c r="E26" s="74"/>
      <c r="F26" s="78"/>
      <c r="G26" s="78"/>
      <c r="H26" s="78"/>
      <c r="I26" s="78"/>
    </row>
    <row r="27" spans="1:11" ht="15" customHeight="1" x14ac:dyDescent="0.2">
      <c r="B27" s="152" t="str">
        <f>IF(C133=1,"","Sylwadau ar y rhagdybiaethau a ddewiswyd ar gyfer rhaniad o ddwy ddeiliadaeth: "&amp;D1)</f>
        <v>Sylwadau ar y rhagdybiaethau a ddewiswyd ar gyfer rhaniad o ddwy ddeiliadaeth: Canolbarth a De-orllewin Cymru</v>
      </c>
      <c r="D27" s="77"/>
      <c r="E27" s="74"/>
      <c r="F27" s="78"/>
      <c r="G27" s="78"/>
      <c r="H27" s="78"/>
      <c r="I27" s="78"/>
    </row>
    <row r="28" spans="1:11" ht="15" customHeight="1" x14ac:dyDescent="0.2">
      <c r="B28" s="360" t="str">
        <f>B188</f>
        <v>Mae'r ffigurau isod yn rhannu'r amcangyfrifon o'r angen o ran tai yn Canolbarth a De-orllewin Cymru yn ddwy ddeiliadaeth, ac maent wedi'i seilio ar y rhagdybiaethau canlynol.Mae amcangyfrifon sylfaenol yr unedau tai ychwanegol wedi'u seilio ar  amcanestyniadau aelwydydd gan Llywodraeth Cymru sy'n seiliedig ar 2014 (Prif Amcanestyniadau), ac amcangyfrif o 5645 aelwydydd o ran angen presennol nas diwallwyd  a fydd yn cymryd 5 mlynedd i'w diwallu.Mae data ar incwm yn seiliedig ar  Ddata Llywodraeth Cymru ac mae data ar renti preifat yn seiliedig ar  Ddata Llywodraeth Cymru. Mae'r newid blynyddol i incwm canolrifol yr aelwyd yn seiliedig ar amcangyfrifon wedi'u rhagosod, mae'r newid blynyddol i ddosbarthiad incwm yr aelwyd yn seiliedig ar amcangyfrifon wedi'u rhagosod ac mae'r newid blynyddol i brisiau rhenti yn seiliedig ar amcangyfrifon wedi'u rhagosod.</v>
      </c>
      <c r="C28" s="360"/>
      <c r="D28" s="360"/>
      <c r="E28" s="360"/>
      <c r="F28" s="360"/>
      <c r="G28" s="360"/>
      <c r="H28" s="360"/>
      <c r="I28" s="360"/>
      <c r="J28" s="360"/>
      <c r="K28" s="107"/>
    </row>
    <row r="29" spans="1:11" ht="15" customHeight="1" x14ac:dyDescent="0.2">
      <c r="B29" s="360"/>
      <c r="C29" s="360"/>
      <c r="D29" s="360"/>
      <c r="E29" s="360"/>
      <c r="F29" s="360"/>
      <c r="G29" s="360"/>
      <c r="H29" s="360"/>
      <c r="I29" s="360"/>
      <c r="J29" s="360"/>
      <c r="K29" s="107"/>
    </row>
    <row r="30" spans="1:11" ht="15" customHeight="1" x14ac:dyDescent="0.2">
      <c r="B30" s="360"/>
      <c r="C30" s="360"/>
      <c r="D30" s="360"/>
      <c r="E30" s="360"/>
      <c r="F30" s="360"/>
      <c r="G30" s="360"/>
      <c r="H30" s="360"/>
      <c r="I30" s="360"/>
      <c r="J30" s="360"/>
      <c r="K30" s="107"/>
    </row>
    <row r="31" spans="1:11" ht="15" customHeight="1" x14ac:dyDescent="0.2">
      <c r="B31" s="360"/>
      <c r="C31" s="360"/>
      <c r="D31" s="360"/>
      <c r="E31" s="360"/>
      <c r="F31" s="360"/>
      <c r="G31" s="360"/>
      <c r="H31" s="360"/>
      <c r="I31" s="360"/>
      <c r="J31" s="360"/>
      <c r="K31" s="107"/>
    </row>
    <row r="32" spans="1:11" ht="15" customHeight="1" x14ac:dyDescent="0.2">
      <c r="B32" s="360"/>
      <c r="C32" s="360"/>
      <c r="D32" s="360"/>
      <c r="E32" s="360"/>
      <c r="F32" s="360"/>
      <c r="G32" s="360"/>
      <c r="H32" s="360"/>
      <c r="I32" s="360"/>
      <c r="J32" s="360"/>
      <c r="K32" s="107"/>
    </row>
    <row r="33" spans="2:11" ht="15" customHeight="1" x14ac:dyDescent="0.2">
      <c r="B33" s="108"/>
      <c r="C33" s="138"/>
      <c r="D33" s="138"/>
      <c r="E33" s="138"/>
      <c r="F33" s="138"/>
      <c r="G33" s="138"/>
      <c r="H33" s="138"/>
      <c r="I33" s="138"/>
      <c r="J33" s="138"/>
      <c r="K33" s="107"/>
    </row>
    <row r="34" spans="2:11" ht="15" customHeight="1" x14ac:dyDescent="0.2">
      <c r="B34" s="108"/>
      <c r="C34" s="138"/>
      <c r="D34" s="138"/>
      <c r="E34" s="138"/>
      <c r="F34" s="138"/>
      <c r="G34" s="138"/>
      <c r="H34" s="138"/>
      <c r="I34" s="138"/>
      <c r="J34" s="138"/>
      <c r="K34" s="107"/>
    </row>
    <row r="35" spans="2:11" ht="15" customHeight="1" x14ac:dyDescent="0.2">
      <c r="B35" s="108"/>
      <c r="C35" s="138"/>
      <c r="D35" s="138"/>
      <c r="E35" s="138"/>
      <c r="F35" s="138"/>
      <c r="G35" s="138"/>
      <c r="H35" s="138"/>
      <c r="I35" s="138"/>
      <c r="J35" s="138"/>
      <c r="K35" s="107"/>
    </row>
    <row r="36" spans="2:11" ht="15" customHeight="1" x14ac:dyDescent="0.2">
      <c r="B36" s="108"/>
      <c r="C36" s="138"/>
      <c r="D36" s="138"/>
      <c r="E36" s="138"/>
      <c r="F36" s="138"/>
      <c r="G36" s="138"/>
      <c r="H36" s="138"/>
      <c r="I36" s="138"/>
      <c r="J36" s="138"/>
      <c r="K36" s="107"/>
    </row>
    <row r="37" spans="2:11" ht="15" customHeight="1" x14ac:dyDescent="0.2">
      <c r="B37" s="108"/>
      <c r="C37" s="138"/>
      <c r="D37" s="138"/>
      <c r="E37" s="138"/>
      <c r="F37" s="138"/>
      <c r="G37" s="138"/>
      <c r="H37" s="138"/>
      <c r="I37" s="138"/>
      <c r="J37" s="138"/>
      <c r="K37" s="107"/>
    </row>
    <row r="38" spans="2:11" ht="15" customHeight="1" x14ac:dyDescent="0.2">
      <c r="B38" s="138"/>
      <c r="C38" s="138"/>
      <c r="D38" s="138"/>
      <c r="E38" s="138"/>
      <c r="F38" s="138"/>
      <c r="G38" s="138"/>
      <c r="H38" s="138"/>
      <c r="I38" s="138"/>
      <c r="J38" s="138"/>
      <c r="K38" s="107"/>
    </row>
    <row r="39" spans="2:11" ht="15" customHeight="1" x14ac:dyDescent="0.2">
      <c r="B39" s="138"/>
      <c r="C39" s="138"/>
      <c r="D39" s="138"/>
      <c r="E39" s="138"/>
      <c r="F39" s="138"/>
      <c r="G39" s="138"/>
      <c r="H39" s="138"/>
      <c r="I39" s="138"/>
      <c r="J39" s="138"/>
      <c r="K39" s="107"/>
    </row>
    <row r="40" spans="2:11" ht="15" customHeight="1" x14ac:dyDescent="0.2">
      <c r="B40" s="138"/>
      <c r="C40" s="138"/>
      <c r="D40" s="138"/>
      <c r="E40" s="138"/>
      <c r="F40" s="138"/>
      <c r="G40" s="138"/>
      <c r="H40" s="138"/>
      <c r="I40" s="138"/>
      <c r="J40" s="138"/>
      <c r="K40" s="107"/>
    </row>
    <row r="41" spans="2:11" ht="15" customHeight="1" x14ac:dyDescent="0.2">
      <c r="B41" s="138"/>
      <c r="C41" s="138"/>
      <c r="D41" s="138"/>
      <c r="E41" s="138"/>
      <c r="F41" s="138"/>
      <c r="G41" s="138"/>
      <c r="H41" s="138"/>
      <c r="I41" s="138"/>
      <c r="J41" s="138"/>
      <c r="K41" s="107"/>
    </row>
    <row r="42" spans="2:11" ht="15" customHeight="1" x14ac:dyDescent="0.2">
      <c r="B42" s="138"/>
      <c r="C42" s="138"/>
      <c r="D42" s="138"/>
      <c r="E42" s="138"/>
      <c r="F42" s="138"/>
      <c r="G42" s="138"/>
      <c r="H42" s="138"/>
      <c r="I42" s="138"/>
      <c r="J42" s="138"/>
      <c r="K42" s="107"/>
    </row>
    <row r="43" spans="2:11" ht="15" customHeight="1" x14ac:dyDescent="0.2">
      <c r="B43" s="138"/>
      <c r="C43" s="138"/>
      <c r="D43" s="138"/>
      <c r="E43" s="138"/>
      <c r="F43" s="138"/>
      <c r="G43" s="138"/>
      <c r="H43" s="138"/>
      <c r="I43" s="138"/>
      <c r="J43" s="138"/>
      <c r="K43" s="107"/>
    </row>
    <row r="44" spans="2:11" ht="15" customHeight="1" x14ac:dyDescent="0.2">
      <c r="B44" s="138"/>
      <c r="C44" s="138"/>
      <c r="D44" s="138"/>
      <c r="E44" s="138"/>
      <c r="F44" s="138"/>
      <c r="G44" s="138"/>
      <c r="H44" s="138"/>
      <c r="I44" s="138"/>
      <c r="J44" s="138"/>
      <c r="K44" s="107"/>
    </row>
    <row r="45" spans="2:11" ht="15" customHeight="1" x14ac:dyDescent="0.2">
      <c r="B45" s="138"/>
      <c r="C45" s="138"/>
      <c r="D45" s="138"/>
      <c r="E45" s="138"/>
      <c r="F45" s="138"/>
      <c r="G45" s="138"/>
      <c r="H45" s="138"/>
      <c r="I45" s="138"/>
      <c r="J45" s="138"/>
      <c r="K45" s="107"/>
    </row>
    <row r="46" spans="2:11" ht="15" customHeight="1" x14ac:dyDescent="0.2">
      <c r="B46" s="138"/>
      <c r="C46" s="138"/>
      <c r="D46" s="138"/>
      <c r="E46" s="138"/>
      <c r="F46" s="138"/>
      <c r="G46" s="138"/>
      <c r="H46" s="138"/>
      <c r="I46" s="138"/>
      <c r="J46" s="138"/>
      <c r="K46" s="107"/>
    </row>
    <row r="47" spans="2:11" ht="15" customHeight="1" x14ac:dyDescent="0.2">
      <c r="B47" s="138"/>
      <c r="C47" s="138"/>
      <c r="D47" s="138"/>
      <c r="E47" s="138"/>
      <c r="F47" s="138"/>
      <c r="G47" s="138"/>
      <c r="H47" s="138"/>
      <c r="I47" s="138"/>
      <c r="J47" s="138"/>
      <c r="K47" s="107"/>
    </row>
    <row r="48" spans="2:11" ht="15" customHeight="1" x14ac:dyDescent="0.2">
      <c r="B48" s="138"/>
      <c r="C48" s="138"/>
      <c r="D48" s="138"/>
      <c r="E48" s="138"/>
      <c r="F48" s="138"/>
      <c r="G48" s="138"/>
      <c r="H48" s="138"/>
      <c r="I48" s="138"/>
      <c r="J48" s="138"/>
      <c r="K48" s="107"/>
    </row>
    <row r="49" spans="2:11" ht="15" customHeight="1" x14ac:dyDescent="0.2">
      <c r="B49" s="138"/>
      <c r="C49" s="138"/>
      <c r="D49" s="138"/>
      <c r="E49" s="138"/>
      <c r="F49" s="138"/>
      <c r="G49" s="138"/>
      <c r="H49" s="138"/>
      <c r="I49" s="138"/>
      <c r="J49" s="138"/>
      <c r="K49" s="107"/>
    </row>
    <row r="50" spans="2:11" ht="15" customHeight="1" x14ac:dyDescent="0.2">
      <c r="B50" s="138"/>
      <c r="C50" s="138"/>
      <c r="D50" s="138"/>
      <c r="E50" s="138"/>
      <c r="F50" s="138"/>
      <c r="G50" s="138"/>
      <c r="H50" s="138"/>
      <c r="I50" s="138"/>
      <c r="J50" s="138"/>
      <c r="K50" s="107"/>
    </row>
    <row r="51" spans="2:11" ht="15" customHeight="1" x14ac:dyDescent="0.2">
      <c r="B51" s="138"/>
      <c r="C51" s="138"/>
      <c r="D51" s="138"/>
      <c r="E51" s="138"/>
      <c r="F51" s="138"/>
      <c r="G51" s="138"/>
      <c r="H51" s="138"/>
      <c r="I51" s="138"/>
      <c r="J51" s="138"/>
      <c r="K51" s="107"/>
    </row>
    <row r="52" spans="2:11" ht="15" customHeight="1" x14ac:dyDescent="0.2">
      <c r="B52" s="377" t="s">
        <v>287</v>
      </c>
      <c r="C52" s="347"/>
      <c r="D52" s="347"/>
      <c r="E52" s="347"/>
      <c r="F52" s="347"/>
      <c r="G52" s="347"/>
      <c r="H52" s="347"/>
      <c r="I52" s="347"/>
      <c r="J52" s="348"/>
      <c r="K52" s="107"/>
    </row>
    <row r="53" spans="2:11" ht="15" customHeight="1" x14ac:dyDescent="0.2">
      <c r="B53" s="349"/>
      <c r="C53" s="350"/>
      <c r="D53" s="350"/>
      <c r="E53" s="350"/>
      <c r="F53" s="350"/>
      <c r="G53" s="350"/>
      <c r="H53" s="350"/>
      <c r="I53" s="350"/>
      <c r="J53" s="351"/>
      <c r="K53" s="107"/>
    </row>
    <row r="54" spans="2:11" ht="15" customHeight="1" x14ac:dyDescent="0.2">
      <c r="B54" s="242"/>
      <c r="C54" s="242"/>
      <c r="D54" s="242"/>
      <c r="E54" s="242"/>
      <c r="F54" s="242"/>
      <c r="G54" s="242"/>
      <c r="H54" s="242"/>
      <c r="I54" s="242"/>
      <c r="J54" s="242"/>
      <c r="K54" s="107"/>
    </row>
    <row r="55" spans="2:11" ht="15" customHeight="1" x14ac:dyDescent="0.2">
      <c r="B55" s="83" t="s">
        <v>240</v>
      </c>
      <c r="C55" s="84"/>
      <c r="D55" s="84"/>
      <c r="E55" s="84"/>
      <c r="F55" s="84"/>
      <c r="G55" s="84"/>
      <c r="K55" s="107"/>
    </row>
    <row r="56" spans="2:11" ht="15" customHeight="1" x14ac:dyDescent="0.2">
      <c r="B56" s="144" t="str">
        <f>B148</f>
        <v/>
      </c>
      <c r="C56" s="145" t="str">
        <f t="shared" ref="C56:G56" si="0">C148</f>
        <v>2018/19</v>
      </c>
      <c r="D56" s="145" t="str">
        <f t="shared" si="0"/>
        <v>2019/20</v>
      </c>
      <c r="E56" s="145" t="str">
        <f t="shared" si="0"/>
        <v>2020/21</v>
      </c>
      <c r="F56" s="145" t="str">
        <f t="shared" si="0"/>
        <v>2021/22</v>
      </c>
      <c r="G56" s="145" t="str">
        <f t="shared" si="0"/>
        <v>2022/23</v>
      </c>
      <c r="K56" s="107"/>
    </row>
    <row r="57" spans="2:11" ht="15" customHeight="1" x14ac:dyDescent="0.2">
      <c r="B57" s="144" t="str">
        <f t="shared" ref="B57:G58" si="1">B149</f>
        <v>Tai'r Farchnad</v>
      </c>
      <c r="C57" s="146">
        <f t="shared" si="1"/>
        <v>1123.92</v>
      </c>
      <c r="D57" s="146">
        <f t="shared" si="1"/>
        <v>1076.67</v>
      </c>
      <c r="E57" s="146">
        <f t="shared" si="1"/>
        <v>1076.04</v>
      </c>
      <c r="F57" s="146">
        <f t="shared" si="1"/>
        <v>1151.01</v>
      </c>
      <c r="G57" s="146">
        <f t="shared" si="1"/>
        <v>1072.26</v>
      </c>
      <c r="K57" s="107"/>
    </row>
    <row r="58" spans="2:11" ht="15" customHeight="1" x14ac:dyDescent="0.2">
      <c r="B58" s="144" t="str">
        <f t="shared" si="1"/>
        <v>Tai Fforddiadwy</v>
      </c>
      <c r="C58" s="146">
        <f>C150</f>
        <v>890.67999999999984</v>
      </c>
      <c r="D58" s="146">
        <f t="shared" si="1"/>
        <v>862.92999999999984</v>
      </c>
      <c r="E58" s="146">
        <f t="shared" si="1"/>
        <v>862.56</v>
      </c>
      <c r="F58" s="146">
        <f t="shared" si="1"/>
        <v>906.58999999999992</v>
      </c>
      <c r="G58" s="146">
        <f t="shared" si="1"/>
        <v>860.33999999999992</v>
      </c>
      <c r="K58" s="107"/>
    </row>
    <row r="59" spans="2:11" ht="15" customHeight="1" x14ac:dyDescent="0.2">
      <c r="K59" s="107"/>
    </row>
    <row r="60" spans="2:11" ht="15" customHeight="1" x14ac:dyDescent="0.2">
      <c r="B60" s="72" t="s">
        <v>246</v>
      </c>
      <c r="K60" s="107"/>
    </row>
    <row r="61" spans="2:11" ht="15" customHeight="1" x14ac:dyDescent="0.2">
      <c r="B61" s="110" t="str">
        <f>B151</f>
        <v/>
      </c>
      <c r="C61" s="147" t="str">
        <f t="shared" ref="C61:G63" si="2">C151</f>
        <v>2018/19</v>
      </c>
      <c r="D61" s="147" t="str">
        <f t="shared" si="2"/>
        <v>2019/20</v>
      </c>
      <c r="E61" s="147" t="str">
        <f t="shared" si="2"/>
        <v>2020/21</v>
      </c>
      <c r="F61" s="147" t="str">
        <f t="shared" si="2"/>
        <v>2021/22</v>
      </c>
      <c r="G61" s="147" t="str">
        <f t="shared" si="2"/>
        <v>2022/23</v>
      </c>
      <c r="I61" s="383" t="str">
        <f>I151</f>
        <v>Rhaniad Blynyddol Cyfartalog ar draws 5 mlynedd</v>
      </c>
      <c r="J61" s="383"/>
      <c r="K61" s="107"/>
    </row>
    <row r="62" spans="2:11" ht="15" customHeight="1" x14ac:dyDescent="0.2">
      <c r="B62" s="110" t="str">
        <f>B152</f>
        <v>Tai'r Farchnad</v>
      </c>
      <c r="C62" s="148">
        <f>C152</f>
        <v>0.55788742182070894</v>
      </c>
      <c r="D62" s="148">
        <f t="shared" si="2"/>
        <v>0.55509898948236758</v>
      </c>
      <c r="E62" s="148">
        <f t="shared" si="2"/>
        <v>0.55506035283194055</v>
      </c>
      <c r="F62" s="148">
        <f t="shared" si="2"/>
        <v>0.55939444012441686</v>
      </c>
      <c r="G62" s="148">
        <f t="shared" si="2"/>
        <v>0.55482769326296189</v>
      </c>
      <c r="I62" s="353">
        <f>I152</f>
        <v>0.55650106243043618</v>
      </c>
      <c r="J62" s="353"/>
      <c r="K62" s="107"/>
    </row>
    <row r="63" spans="2:11" ht="15" customHeight="1" x14ac:dyDescent="0.2">
      <c r="B63" s="110" t="str">
        <f t="shared" ref="B63" si="3">B153</f>
        <v>Tai Fforddiadwy</v>
      </c>
      <c r="C63" s="148">
        <f>C153</f>
        <v>0.44211257817929112</v>
      </c>
      <c r="D63" s="148">
        <f t="shared" si="2"/>
        <v>0.44490101051763242</v>
      </c>
      <c r="E63" s="148">
        <f t="shared" si="2"/>
        <v>0.44493964716805939</v>
      </c>
      <c r="F63" s="148">
        <f t="shared" si="2"/>
        <v>0.4406055598755832</v>
      </c>
      <c r="G63" s="148">
        <f t="shared" si="2"/>
        <v>0.44517230673703817</v>
      </c>
      <c r="I63" s="353">
        <f>I153</f>
        <v>0.44349893756956382</v>
      </c>
      <c r="J63" s="353"/>
      <c r="K63" s="107"/>
    </row>
    <row r="64" spans="2:11" ht="15" customHeight="1" x14ac:dyDescent="0.2">
      <c r="B64" s="108"/>
      <c r="C64" s="138"/>
      <c r="D64" s="138"/>
      <c r="E64" s="138"/>
      <c r="F64" s="138"/>
      <c r="G64" s="138"/>
      <c r="H64" s="138"/>
      <c r="I64" s="138"/>
      <c r="J64" s="138"/>
      <c r="K64" s="107"/>
    </row>
    <row r="65" spans="2:11" ht="15" customHeight="1" x14ac:dyDescent="0.2">
      <c r="B65" s="79" t="str">
        <f>IF(C145=1,"","Sylwadau ar y rhagdybiaethau a ddewiswyd ar gyfer rhaniad o bediar deiliadaeth")</f>
        <v/>
      </c>
      <c r="C65" s="138"/>
      <c r="D65" s="138"/>
      <c r="E65" s="138"/>
      <c r="F65" s="138"/>
      <c r="G65" s="138"/>
      <c r="H65" s="138"/>
      <c r="I65" s="138"/>
      <c r="J65" s="138"/>
      <c r="K65" s="107"/>
    </row>
    <row r="66" spans="2:11" ht="15" customHeight="1" x14ac:dyDescent="0.2">
      <c r="B66" s="360" t="str">
        <f>B192</f>
        <v>Ni fydd amcangyfrifon rhaniad 4 deiliadaeth yn ymddangos hyd nes bod y tabl uchod wedi'i gwblhau.</v>
      </c>
      <c r="C66" s="360"/>
      <c r="D66" s="360"/>
      <c r="E66" s="360"/>
      <c r="F66" s="360"/>
      <c r="G66" s="360"/>
      <c r="H66" s="360"/>
      <c r="I66" s="360"/>
      <c r="J66" s="360"/>
      <c r="K66" s="107"/>
    </row>
    <row r="67" spans="2:11" ht="15" customHeight="1" x14ac:dyDescent="0.2">
      <c r="B67" s="360"/>
      <c r="C67" s="360"/>
      <c r="D67" s="360"/>
      <c r="E67" s="360"/>
      <c r="F67" s="360"/>
      <c r="G67" s="360"/>
      <c r="H67" s="360"/>
      <c r="I67" s="360"/>
      <c r="J67" s="360"/>
      <c r="K67" s="107"/>
    </row>
    <row r="68" spans="2:11" ht="15" customHeight="1" x14ac:dyDescent="0.2">
      <c r="B68" s="360"/>
      <c r="C68" s="360"/>
      <c r="D68" s="360"/>
      <c r="E68" s="360"/>
      <c r="F68" s="360"/>
      <c r="G68" s="360"/>
      <c r="H68" s="360"/>
      <c r="I68" s="360"/>
      <c r="J68" s="360"/>
      <c r="K68" s="107"/>
    </row>
    <row r="69" spans="2:11" ht="15" customHeight="1" x14ac:dyDescent="0.2">
      <c r="B69" s="360"/>
      <c r="C69" s="360"/>
      <c r="D69" s="360"/>
      <c r="E69" s="360"/>
      <c r="F69" s="360"/>
      <c r="G69" s="360"/>
      <c r="H69" s="360"/>
      <c r="I69" s="360"/>
      <c r="J69" s="360"/>
      <c r="K69" s="107"/>
    </row>
    <row r="70" spans="2:11" ht="15" customHeight="1" x14ac:dyDescent="0.2">
      <c r="C70" s="76"/>
      <c r="D70" s="80"/>
      <c r="F70" s="81"/>
      <c r="G70" s="82"/>
    </row>
    <row r="71" spans="2:11" ht="15" customHeight="1" x14ac:dyDescent="0.2">
      <c r="C71" s="76"/>
      <c r="D71" s="80"/>
      <c r="E71" s="82"/>
      <c r="F71" s="81"/>
      <c r="G71" s="82"/>
    </row>
    <row r="72" spans="2:11" ht="15" customHeight="1" x14ac:dyDescent="0.2">
      <c r="C72" s="76"/>
      <c r="D72" s="80"/>
      <c r="E72" s="82"/>
      <c r="F72" s="81"/>
      <c r="G72" s="82"/>
    </row>
    <row r="73" spans="2:11" ht="15" customHeight="1" x14ac:dyDescent="0.2">
      <c r="C73" s="76"/>
      <c r="D73" s="80"/>
      <c r="E73" s="82"/>
      <c r="F73" s="81"/>
      <c r="G73" s="82"/>
    </row>
    <row r="74" spans="2:11" ht="15" customHeight="1" x14ac:dyDescent="0.2">
      <c r="C74" s="76"/>
      <c r="D74" s="80"/>
      <c r="E74" s="82"/>
      <c r="F74" s="81"/>
      <c r="G74" s="82"/>
    </row>
    <row r="75" spans="2:11" ht="15" customHeight="1" x14ac:dyDescent="0.2">
      <c r="C75" s="76"/>
      <c r="D75" s="80"/>
      <c r="E75" s="82"/>
      <c r="F75" s="81"/>
      <c r="G75" s="82"/>
    </row>
    <row r="76" spans="2:11" ht="15" customHeight="1" x14ac:dyDescent="0.2">
      <c r="C76" s="76"/>
      <c r="D76" s="80"/>
      <c r="E76" s="82"/>
      <c r="F76" s="81"/>
      <c r="G76" s="82"/>
    </row>
    <row r="77" spans="2:11" ht="15" customHeight="1" x14ac:dyDescent="0.2">
      <c r="C77" s="76"/>
      <c r="D77" s="80"/>
      <c r="E77" s="82"/>
      <c r="F77" s="81"/>
      <c r="G77" s="82"/>
    </row>
    <row r="78" spans="2:11" ht="15" customHeight="1" x14ac:dyDescent="0.2">
      <c r="C78" s="76"/>
      <c r="D78" s="80"/>
      <c r="E78" s="82"/>
      <c r="F78" s="81"/>
      <c r="G78" s="82"/>
    </row>
    <row r="79" spans="2:11" ht="15" customHeight="1" x14ac:dyDescent="0.2">
      <c r="C79" s="76"/>
      <c r="D79" s="80"/>
      <c r="E79" s="82"/>
      <c r="F79" s="81"/>
      <c r="G79" s="82"/>
    </row>
    <row r="80" spans="2:11" ht="15" customHeight="1" x14ac:dyDescent="0.2">
      <c r="C80" s="76"/>
      <c r="D80" s="80"/>
      <c r="E80" s="82"/>
      <c r="F80" s="81"/>
      <c r="G80" s="82"/>
    </row>
    <row r="81" spans="2:7" ht="15" customHeight="1" x14ac:dyDescent="0.2">
      <c r="C81" s="76"/>
      <c r="D81" s="80"/>
      <c r="E81" s="82"/>
      <c r="F81" s="81"/>
      <c r="G81" s="82"/>
    </row>
    <row r="82" spans="2:7" ht="15" customHeight="1" x14ac:dyDescent="0.2">
      <c r="C82" s="76"/>
      <c r="D82" s="80"/>
      <c r="E82" s="82"/>
      <c r="F82" s="81"/>
      <c r="G82" s="82"/>
    </row>
    <row r="83" spans="2:7" ht="15" customHeight="1" x14ac:dyDescent="0.2">
      <c r="C83" s="76"/>
      <c r="D83" s="80"/>
      <c r="E83" s="82"/>
      <c r="F83" s="81"/>
      <c r="G83" s="82"/>
    </row>
    <row r="84" spans="2:7" ht="15" customHeight="1" x14ac:dyDescent="0.2">
      <c r="C84" s="76"/>
      <c r="D84" s="80"/>
      <c r="E84" s="82"/>
      <c r="F84" s="81"/>
      <c r="G84" s="82"/>
    </row>
    <row r="85" spans="2:7" ht="15" customHeight="1" x14ac:dyDescent="0.2">
      <c r="C85" s="76"/>
      <c r="D85" s="80"/>
      <c r="E85" s="82"/>
      <c r="F85" s="81"/>
      <c r="G85" s="82"/>
    </row>
    <row r="86" spans="2:7" ht="15" customHeight="1" x14ac:dyDescent="0.2">
      <c r="C86" s="76"/>
      <c r="D86" s="80"/>
      <c r="E86" s="82"/>
      <c r="F86" s="81"/>
      <c r="G86" s="82"/>
    </row>
    <row r="87" spans="2:7" ht="15" customHeight="1" x14ac:dyDescent="0.2">
      <c r="C87" s="76"/>
      <c r="D87" s="80"/>
      <c r="E87" s="82"/>
      <c r="F87" s="81"/>
      <c r="G87" s="82"/>
    </row>
    <row r="88" spans="2:7" ht="15" customHeight="1" x14ac:dyDescent="0.2">
      <c r="C88" s="76"/>
      <c r="D88" s="80"/>
      <c r="E88" s="82"/>
      <c r="F88" s="81"/>
      <c r="G88" s="82"/>
    </row>
    <row r="89" spans="2:7" ht="15" customHeight="1" x14ac:dyDescent="0.2">
      <c r="C89" s="76"/>
      <c r="D89" s="80"/>
      <c r="E89" s="82"/>
      <c r="F89" s="81"/>
      <c r="G89" s="82"/>
    </row>
    <row r="90" spans="2:7" ht="15" customHeight="1" x14ac:dyDescent="0.2">
      <c r="B90" s="83" t="s">
        <v>342</v>
      </c>
      <c r="C90" s="84"/>
      <c r="D90" s="84"/>
      <c r="E90" s="84"/>
      <c r="F90" s="84"/>
      <c r="G90" s="84"/>
    </row>
    <row r="91" spans="2:7" ht="15" customHeight="1" x14ac:dyDescent="0.2">
      <c r="B91" s="150" t="str">
        <f>B157</f>
        <v>Cwblhewch y tabl i weld amcangyfrifon wedi'u rhannu'n 4 deiliadaeth.</v>
      </c>
      <c r="C91" s="110"/>
      <c r="D91" s="110"/>
      <c r="E91" s="110"/>
      <c r="F91" s="110"/>
      <c r="G91" s="110"/>
    </row>
    <row r="92" spans="2:7" ht="15" customHeight="1" x14ac:dyDescent="0.2">
      <c r="B92" s="150"/>
      <c r="C92" s="145" t="str">
        <f t="shared" ref="C92:G96" si="4">C157</f>
        <v/>
      </c>
      <c r="D92" s="145" t="str">
        <f t="shared" si="4"/>
        <v/>
      </c>
      <c r="E92" s="145" t="str">
        <f t="shared" si="4"/>
        <v/>
      </c>
      <c r="F92" s="145" t="str">
        <f t="shared" si="4"/>
        <v/>
      </c>
      <c r="G92" s="145" t="str">
        <f t="shared" si="4"/>
        <v/>
      </c>
    </row>
    <row r="93" spans="2:7" ht="15" customHeight="1" x14ac:dyDescent="0.2">
      <c r="B93" s="144" t="str">
        <f>B158</f>
        <v/>
      </c>
      <c r="C93" s="151" t="str">
        <f t="shared" si="4"/>
        <v/>
      </c>
      <c r="D93" s="146" t="str">
        <f t="shared" si="4"/>
        <v/>
      </c>
      <c r="E93" s="146" t="str">
        <f t="shared" si="4"/>
        <v/>
      </c>
      <c r="F93" s="146" t="str">
        <f t="shared" si="4"/>
        <v/>
      </c>
      <c r="G93" s="146" t="str">
        <f t="shared" si="4"/>
        <v/>
      </c>
    </row>
    <row r="94" spans="2:7" ht="15" customHeight="1" x14ac:dyDescent="0.2">
      <c r="B94" s="144" t="str">
        <f>B159</f>
        <v/>
      </c>
      <c r="C94" s="146" t="str">
        <f t="shared" si="4"/>
        <v/>
      </c>
      <c r="D94" s="146" t="str">
        <f t="shared" si="4"/>
        <v/>
      </c>
      <c r="E94" s="146" t="str">
        <f t="shared" si="4"/>
        <v/>
      </c>
      <c r="F94" s="146" t="str">
        <f t="shared" si="4"/>
        <v/>
      </c>
      <c r="G94" s="146" t="str">
        <f t="shared" si="4"/>
        <v/>
      </c>
    </row>
    <row r="95" spans="2:7" ht="15" customHeight="1" x14ac:dyDescent="0.2">
      <c r="B95" s="146" t="str">
        <f>B160</f>
        <v/>
      </c>
      <c r="C95" s="146" t="str">
        <f t="shared" si="4"/>
        <v/>
      </c>
      <c r="D95" s="146" t="str">
        <f t="shared" si="4"/>
        <v/>
      </c>
      <c r="E95" s="146" t="str">
        <f t="shared" si="4"/>
        <v/>
      </c>
      <c r="F95" s="146" t="str">
        <f t="shared" si="4"/>
        <v/>
      </c>
      <c r="G95" s="146" t="str">
        <f t="shared" si="4"/>
        <v/>
      </c>
    </row>
    <row r="96" spans="2:7" ht="15" customHeight="1" x14ac:dyDescent="0.2">
      <c r="B96" s="146" t="str">
        <f>B161</f>
        <v/>
      </c>
      <c r="C96" s="146" t="str">
        <f t="shared" si="4"/>
        <v/>
      </c>
      <c r="D96" s="146" t="str">
        <f t="shared" si="4"/>
        <v/>
      </c>
      <c r="E96" s="146" t="str">
        <f t="shared" si="4"/>
        <v/>
      </c>
      <c r="F96" s="146" t="str">
        <f t="shared" si="4"/>
        <v/>
      </c>
      <c r="G96" s="146" t="str">
        <f t="shared" si="4"/>
        <v/>
      </c>
    </row>
    <row r="97" spans="2:20" ht="15" customHeight="1" x14ac:dyDescent="0.2"/>
    <row r="98" spans="2:20" ht="15" customHeight="1" x14ac:dyDescent="0.2">
      <c r="B98" s="72" t="s">
        <v>343</v>
      </c>
    </row>
    <row r="99" spans="2:20" ht="15" customHeight="1" x14ac:dyDescent="0.2">
      <c r="B99" s="110" t="str">
        <f>B162</f>
        <v>Cwblhewch y tabl i weld amcangyfrifon wedi'u rhannu'n 4 deiliadaeth.</v>
      </c>
      <c r="C99" s="110"/>
      <c r="D99" s="110"/>
      <c r="E99" s="110"/>
      <c r="F99" s="110"/>
      <c r="G99" s="110"/>
      <c r="I99" s="383" t="str">
        <f>I162</f>
        <v/>
      </c>
      <c r="J99" s="383"/>
    </row>
    <row r="100" spans="2:20" ht="15" customHeight="1" x14ac:dyDescent="0.2">
      <c r="B100" s="110"/>
      <c r="C100" s="147" t="str">
        <f t="shared" ref="C100:G104" si="5">C162</f>
        <v/>
      </c>
      <c r="D100" s="147" t="str">
        <f t="shared" si="5"/>
        <v/>
      </c>
      <c r="E100" s="147" t="str">
        <f t="shared" si="5"/>
        <v/>
      </c>
      <c r="F100" s="147" t="str">
        <f t="shared" si="5"/>
        <v/>
      </c>
      <c r="G100" s="147" t="str">
        <f t="shared" si="5"/>
        <v/>
      </c>
      <c r="I100" s="149"/>
      <c r="J100" s="149"/>
    </row>
    <row r="101" spans="2:20" ht="15" customHeight="1" x14ac:dyDescent="0.2">
      <c r="B101" s="110" t="str">
        <f>B163</f>
        <v/>
      </c>
      <c r="C101" s="148" t="str">
        <f t="shared" si="5"/>
        <v/>
      </c>
      <c r="D101" s="148" t="str">
        <f t="shared" si="5"/>
        <v/>
      </c>
      <c r="E101" s="148" t="str">
        <f t="shared" si="5"/>
        <v/>
      </c>
      <c r="F101" s="148" t="str">
        <f t="shared" si="5"/>
        <v/>
      </c>
      <c r="G101" s="148" t="str">
        <f t="shared" si="5"/>
        <v/>
      </c>
      <c r="I101" s="353" t="str">
        <f>I163</f>
        <v/>
      </c>
      <c r="J101" s="353"/>
    </row>
    <row r="102" spans="2:20" ht="15" customHeight="1" x14ac:dyDescent="0.2">
      <c r="B102" s="110" t="str">
        <f>B164</f>
        <v/>
      </c>
      <c r="C102" s="148" t="str">
        <f t="shared" si="5"/>
        <v/>
      </c>
      <c r="D102" s="148" t="str">
        <f t="shared" si="5"/>
        <v/>
      </c>
      <c r="E102" s="148" t="str">
        <f t="shared" si="5"/>
        <v/>
      </c>
      <c r="F102" s="148" t="str">
        <f t="shared" si="5"/>
        <v/>
      </c>
      <c r="G102" s="148" t="str">
        <f t="shared" si="5"/>
        <v/>
      </c>
      <c r="I102" s="353" t="str">
        <f>I164</f>
        <v/>
      </c>
      <c r="J102" s="353"/>
    </row>
    <row r="103" spans="2:20" ht="14.25" customHeight="1" x14ac:dyDescent="0.2">
      <c r="B103" s="110" t="str">
        <f>B165</f>
        <v/>
      </c>
      <c r="C103" s="148" t="str">
        <f t="shared" si="5"/>
        <v/>
      </c>
      <c r="D103" s="148" t="str">
        <f t="shared" si="5"/>
        <v/>
      </c>
      <c r="E103" s="148" t="str">
        <f t="shared" si="5"/>
        <v/>
      </c>
      <c r="F103" s="148" t="str">
        <f t="shared" si="5"/>
        <v/>
      </c>
      <c r="G103" s="148" t="str">
        <f t="shared" si="5"/>
        <v/>
      </c>
      <c r="I103" s="353" t="str">
        <f>I165</f>
        <v/>
      </c>
      <c r="J103" s="353"/>
    </row>
    <row r="104" spans="2:20" ht="14.25" customHeight="1" x14ac:dyDescent="0.2">
      <c r="B104" s="110" t="str">
        <f>B166</f>
        <v/>
      </c>
      <c r="C104" s="148" t="str">
        <f t="shared" si="5"/>
        <v/>
      </c>
      <c r="D104" s="148" t="str">
        <f t="shared" si="5"/>
        <v/>
      </c>
      <c r="E104" s="148" t="str">
        <f t="shared" si="5"/>
        <v/>
      </c>
      <c r="F104" s="148" t="str">
        <f t="shared" si="5"/>
        <v/>
      </c>
      <c r="G104" s="148" t="str">
        <f t="shared" si="5"/>
        <v/>
      </c>
      <c r="I104" s="353" t="str">
        <f>I166</f>
        <v/>
      </c>
      <c r="J104" s="353"/>
    </row>
    <row r="105" spans="2:20" ht="14.25" customHeight="1" x14ac:dyDescent="0.2">
      <c r="C105" s="72"/>
      <c r="M105" s="85"/>
      <c r="N105" s="86"/>
      <c r="O105" s="86"/>
      <c r="P105" s="86"/>
      <c r="Q105" s="86"/>
      <c r="R105" s="86"/>
      <c r="S105" s="85"/>
      <c r="T105" s="87"/>
    </row>
    <row r="106" spans="2:20" ht="14.25" customHeight="1" x14ac:dyDescent="0.25">
      <c r="B106" s="70" t="s">
        <v>238</v>
      </c>
      <c r="M106" s="85"/>
      <c r="N106" s="86"/>
      <c r="O106" s="86"/>
      <c r="P106" s="86"/>
      <c r="Q106" s="86"/>
      <c r="R106" s="86"/>
      <c r="S106" s="85"/>
      <c r="T106" s="87"/>
    </row>
    <row r="107" spans="2:20" ht="14.25" customHeight="1" x14ac:dyDescent="0.2">
      <c r="B107" s="156"/>
      <c r="C107" s="157" t="s">
        <v>0</v>
      </c>
      <c r="D107" s="157" t="s">
        <v>1</v>
      </c>
      <c r="E107" s="157" t="s">
        <v>2</v>
      </c>
      <c r="F107" s="157" t="s">
        <v>3</v>
      </c>
      <c r="G107" s="158" t="s">
        <v>4</v>
      </c>
      <c r="M107" s="85"/>
      <c r="N107" s="86"/>
      <c r="O107" s="86"/>
      <c r="P107" s="86"/>
      <c r="Q107" s="86"/>
      <c r="R107" s="86"/>
      <c r="S107" s="85"/>
      <c r="T107" s="87"/>
    </row>
    <row r="108" spans="2:20" ht="38.25" x14ac:dyDescent="0.2">
      <c r="B108" s="159" t="s">
        <v>81</v>
      </c>
      <c r="C108" s="161">
        <f>'Rhaniad y Ddeiliadaeth (Cymru)'!C108</f>
        <v>0.3</v>
      </c>
      <c r="D108" s="161">
        <f>'Rhaniad y Ddeiliadaeth (Cymru)'!D108</f>
        <v>0.3</v>
      </c>
      <c r="E108" s="161">
        <f>'Rhaniad y Ddeiliadaeth (Cymru)'!E108</f>
        <v>0.3</v>
      </c>
      <c r="F108" s="161">
        <f>'Rhaniad y Ddeiliadaeth (Cymru)'!F108</f>
        <v>0.3</v>
      </c>
      <c r="G108" s="162">
        <f>'Rhaniad y Ddeiliadaeth (Cymru)'!G108</f>
        <v>0.3</v>
      </c>
      <c r="O108" s="86"/>
      <c r="P108" s="86"/>
      <c r="Q108" s="86"/>
      <c r="R108" s="86"/>
      <c r="S108" s="85"/>
      <c r="T108" s="87"/>
    </row>
    <row r="109" spans="2:20" ht="25.5" x14ac:dyDescent="0.2">
      <c r="B109" s="159" t="s">
        <v>219</v>
      </c>
      <c r="C109" s="161">
        <f>'Rhaniad y Ddeiliadaeth (Cymru)'!C109</f>
        <v>3.5377362656780903E-2</v>
      </c>
      <c r="D109" s="161">
        <f>'Rhaniad y Ddeiliadaeth (Cymru)'!D109</f>
        <v>2.571119448209791E-2</v>
      </c>
      <c r="E109" s="161">
        <f>'Rhaniad y Ddeiliadaeth (Cymru)'!E109</f>
        <v>3.2803011550502595E-2</v>
      </c>
      <c r="F109" s="161">
        <f>'Rhaniad y Ddeiliadaeth (Cymru)'!F109</f>
        <v>3.70858525612624E-2</v>
      </c>
      <c r="G109" s="162">
        <f>'Rhaniad y Ddeiliadaeth (Cymru)'!G109</f>
        <v>3.8062223065459387E-2</v>
      </c>
      <c r="O109" s="86"/>
      <c r="P109" s="86"/>
      <c r="Q109" s="86"/>
      <c r="R109" s="86"/>
      <c r="S109" s="85"/>
      <c r="T109" s="87"/>
    </row>
    <row r="110" spans="2:20" ht="25.5" x14ac:dyDescent="0.2">
      <c r="B110" s="159" t="s">
        <v>220</v>
      </c>
      <c r="C110" s="161">
        <f>'Rhaniad y Ddeiliadaeth (Cymru)'!C110</f>
        <v>0.01</v>
      </c>
      <c r="D110" s="161">
        <f>'Rhaniad y Ddeiliadaeth (Cymru)'!D110</f>
        <v>0.01</v>
      </c>
      <c r="E110" s="161">
        <f>'Rhaniad y Ddeiliadaeth (Cymru)'!E110</f>
        <v>0.01</v>
      </c>
      <c r="F110" s="161">
        <f>'Rhaniad y Ddeiliadaeth (Cymru)'!F110</f>
        <v>0.01</v>
      </c>
      <c r="G110" s="162">
        <f>'Rhaniad y Ddeiliadaeth (Cymru)'!G110</f>
        <v>0.01</v>
      </c>
      <c r="O110" s="86"/>
      <c r="P110" s="86"/>
      <c r="Q110" s="86"/>
      <c r="R110" s="86"/>
      <c r="S110" s="85"/>
      <c r="T110" s="87"/>
    </row>
    <row r="111" spans="2:20" ht="25.5" x14ac:dyDescent="0.2">
      <c r="B111" s="159" t="s">
        <v>221</v>
      </c>
      <c r="C111" s="161">
        <f>'Rhaniad y Ddeiliadaeth (Cymru)'!C111</f>
        <v>2.9066130553574002E-2</v>
      </c>
      <c r="D111" s="161">
        <f>'Rhaniad y Ddeiliadaeth (Cymru)'!D111</f>
        <v>2.9536238937667179E-2</v>
      </c>
      <c r="E111" s="161">
        <f>'Rhaniad y Ddeiliadaeth (Cymru)'!E111</f>
        <v>3.0600923725820621E-2</v>
      </c>
      <c r="F111" s="161">
        <f>'Rhaniad y Ddeiliadaeth (Cymru)'!F111</f>
        <v>3.1212408697362831E-2</v>
      </c>
      <c r="G111" s="162">
        <f>'Rhaniad y Ddeiliadaeth (Cymru)'!G111</f>
        <v>3.1716449662899181E-2</v>
      </c>
      <c r="O111" s="86"/>
      <c r="P111" s="86"/>
      <c r="Q111" s="86"/>
      <c r="R111" s="86"/>
      <c r="S111" s="85"/>
      <c r="T111" s="87"/>
    </row>
    <row r="112" spans="2:20" ht="25.5" x14ac:dyDescent="0.2">
      <c r="B112" s="159" t="s">
        <v>222</v>
      </c>
      <c r="C112" s="163">
        <f>INDEX('Prisiau Rhenti'!$D$19:$D$20,MATCH('Rhaniad y Ddeiliadaeth (C&amp;De-o)'!$D$9,'Prisiau Rhenti'!$B$19:$B$20,0))*(1+C111)</f>
        <v>6112.6528154882299</v>
      </c>
      <c r="D112" s="163">
        <f>C112*(1+D111)</f>
        <v>6293.1975895894948</v>
      </c>
      <c r="E112" s="163">
        <f t="shared" ref="E112:G112" si="6">D112*(1+E111)</f>
        <v>6485.7752490200419</v>
      </c>
      <c r="F112" s="163">
        <f t="shared" si="6"/>
        <v>6688.211916811696</v>
      </c>
      <c r="G112" s="164">
        <f t="shared" si="6"/>
        <v>6900.3382534060565</v>
      </c>
      <c r="O112" s="86"/>
      <c r="P112" s="86"/>
      <c r="Q112" s="86"/>
      <c r="R112" s="86"/>
      <c r="S112" s="85"/>
      <c r="T112" s="87"/>
    </row>
    <row r="113" spans="2:20" ht="25.5" x14ac:dyDescent="0.2">
      <c r="B113" s="159" t="s">
        <v>248</v>
      </c>
      <c r="C113" s="163">
        <f>INDEX('Prisiau Rhenti'!$C$19:$C$20,MATCH('Rhaniad y Ddeiliadaeth (C&amp;De-o)'!$D$9,'Prisiau Rhenti'!$B$19:$B$20,0))*(1+C111)</f>
        <v>5556.9571049892993</v>
      </c>
      <c r="D113" s="163">
        <f>C113*(1+D111)</f>
        <v>5721.0887178086305</v>
      </c>
      <c r="E113" s="163">
        <f t="shared" ref="E113:G113" si="7">D113*(1+E111)</f>
        <v>5896.1593172909452</v>
      </c>
      <c r="F113" s="163">
        <f t="shared" si="7"/>
        <v>6080.1926516469939</v>
      </c>
      <c r="G113" s="164">
        <f t="shared" si="7"/>
        <v>6273.0347758236858</v>
      </c>
      <c r="O113" s="86"/>
      <c r="P113" s="86"/>
      <c r="Q113" s="86"/>
      <c r="R113" s="86"/>
      <c r="S113" s="85"/>
      <c r="T113" s="87"/>
    </row>
    <row r="114" spans="2:20" ht="38.25" x14ac:dyDescent="0.2">
      <c r="B114" s="155" t="s">
        <v>88</v>
      </c>
      <c r="C114" s="165">
        <f>'Rhaniad y Ddeiliadaeth (Cymru)'!C114</f>
        <v>3.8</v>
      </c>
      <c r="D114" s="165">
        <f>'Rhaniad y Ddeiliadaeth (Cymru)'!D114</f>
        <v>3.8</v>
      </c>
      <c r="E114" s="165">
        <f>'Rhaniad y Ddeiliadaeth (Cymru)'!E114</f>
        <v>3.8</v>
      </c>
      <c r="F114" s="165">
        <f>'Rhaniad y Ddeiliadaeth (Cymru)'!F114</f>
        <v>3.8</v>
      </c>
      <c r="G114" s="166">
        <f>'Rhaniad y Ddeiliadaeth (Cymru)'!G114</f>
        <v>3.8</v>
      </c>
      <c r="O114" s="86"/>
      <c r="P114" s="86"/>
      <c r="Q114" s="86"/>
      <c r="R114" s="86"/>
      <c r="S114" s="85"/>
      <c r="T114" s="87"/>
    </row>
    <row r="115" spans="2:20" ht="38.25" x14ac:dyDescent="0.2">
      <c r="B115" s="155" t="s">
        <v>89</v>
      </c>
      <c r="C115" s="165">
        <f>'Rhaniad y Ddeiliadaeth (Cymru)'!C115</f>
        <v>25</v>
      </c>
      <c r="D115" s="165">
        <f>'Rhaniad y Ddeiliadaeth (Cymru)'!D115</f>
        <v>25</v>
      </c>
      <c r="E115" s="165">
        <f>'Rhaniad y Ddeiliadaeth (Cymru)'!E115</f>
        <v>25</v>
      </c>
      <c r="F115" s="165">
        <f>'Rhaniad y Ddeiliadaeth (Cymru)'!F115</f>
        <v>25</v>
      </c>
      <c r="G115" s="166">
        <f>'Rhaniad y Ddeiliadaeth (Cymru)'!G115</f>
        <v>25</v>
      </c>
      <c r="O115" s="86"/>
      <c r="P115" s="86"/>
      <c r="Q115" s="86"/>
      <c r="R115" s="86"/>
      <c r="S115" s="85"/>
      <c r="T115" s="87"/>
    </row>
    <row r="116" spans="2:20" ht="51" x14ac:dyDescent="0.2">
      <c r="B116" s="155" t="s">
        <v>223</v>
      </c>
      <c r="C116" s="167" t="str">
        <f>'Rhaniad y Ddeiliadaeth (Cymru)'!C116</f>
        <v>-</v>
      </c>
      <c r="D116" s="167" t="str">
        <f>'Rhaniad y Ddeiliadaeth (Cymru)'!D116</f>
        <v>-</v>
      </c>
      <c r="E116" s="167" t="str">
        <f>'Rhaniad y Ddeiliadaeth (Cymru)'!E116</f>
        <v>-</v>
      </c>
      <c r="F116" s="167" t="str">
        <f>'Rhaniad y Ddeiliadaeth (Cymru)'!F116</f>
        <v>-</v>
      </c>
      <c r="G116" s="168" t="str">
        <f>'Rhaniad y Ddeiliadaeth (Cymru)'!G116</f>
        <v>-</v>
      </c>
      <c r="O116" s="86"/>
      <c r="P116" s="86"/>
      <c r="Q116" s="86"/>
      <c r="R116" s="86"/>
      <c r="S116" s="85"/>
      <c r="T116" s="87"/>
    </row>
    <row r="117" spans="2:20" ht="38.25" x14ac:dyDescent="0.2">
      <c r="B117" s="155" t="s">
        <v>90</v>
      </c>
      <c r="C117" s="167">
        <f>'Rhaniad y Ddeiliadaeth (Cymru)'!C117</f>
        <v>0.35</v>
      </c>
      <c r="D117" s="167">
        <f>'Rhaniad y Ddeiliadaeth (Cymru)'!D117</f>
        <v>0.35</v>
      </c>
      <c r="E117" s="167">
        <f>'Rhaniad y Ddeiliadaeth (Cymru)'!E117</f>
        <v>0.35</v>
      </c>
      <c r="F117" s="167">
        <f>'Rhaniad y Ddeiliadaeth (Cymru)'!F117</f>
        <v>0.35</v>
      </c>
      <c r="G117" s="168">
        <f>'Rhaniad y Ddeiliadaeth (Cymru)'!G117</f>
        <v>0.35</v>
      </c>
      <c r="O117" s="86"/>
      <c r="P117" s="86"/>
      <c r="Q117" s="86"/>
      <c r="R117" s="86"/>
      <c r="S117" s="85"/>
      <c r="T117" s="87"/>
    </row>
    <row r="118" spans="2:20" ht="25.5" x14ac:dyDescent="0.2">
      <c r="B118" s="160" t="s">
        <v>132</v>
      </c>
      <c r="C118" s="169">
        <f>'Rhaniad y Ddeiliadaeth (Cymru)'!C118</f>
        <v>2.8405585293094449E-2</v>
      </c>
      <c r="D118" s="169">
        <f>'Rhaniad y Ddeiliadaeth (Cymru)'!D118</f>
        <v>2.2265547421218557E-3</v>
      </c>
      <c r="E118" s="169">
        <f>'Rhaniad y Ddeiliadaeth (Cymru)'!E118</f>
        <v>2.1524380028468126E-2</v>
      </c>
      <c r="F118" s="169">
        <f>'Rhaniad y Ddeiliadaeth (Cymru)'!F118</f>
        <v>3.8999168521062666E-2</v>
      </c>
      <c r="G118" s="170">
        <f>'Rhaniad y Ddeiliadaeth (Cymru)'!G118</f>
        <v>4.147992390238664E-2</v>
      </c>
      <c r="O118" s="86"/>
      <c r="P118" s="86"/>
      <c r="Q118" s="86"/>
      <c r="R118" s="86"/>
      <c r="S118" s="85"/>
      <c r="T118" s="87"/>
    </row>
    <row r="119" spans="2:20" ht="14.25" customHeight="1" x14ac:dyDescent="0.2">
      <c r="C119" s="72"/>
      <c r="M119" s="85"/>
      <c r="N119" s="86"/>
      <c r="O119" s="86"/>
      <c r="P119" s="86"/>
      <c r="Q119" s="86"/>
      <c r="R119" s="86"/>
      <c r="S119" s="85"/>
      <c r="T119" s="87"/>
    </row>
    <row r="120" spans="2:20" ht="14.25" hidden="1" customHeight="1" x14ac:dyDescent="0.2">
      <c r="B120" s="113" t="s">
        <v>224</v>
      </c>
      <c r="C120" s="114"/>
      <c r="L120" s="85"/>
      <c r="M120" s="86"/>
      <c r="N120" s="86"/>
      <c r="O120" s="86"/>
      <c r="P120" s="86"/>
      <c r="R120" s="86"/>
      <c r="S120" s="85"/>
      <c r="T120" s="87"/>
    </row>
    <row r="121" spans="2:20" ht="14.25" hidden="1" customHeight="1" x14ac:dyDescent="0.2">
      <c r="B121" s="113" t="s">
        <v>225</v>
      </c>
      <c r="C121" s="115" t="s">
        <v>226</v>
      </c>
      <c r="G121" s="85"/>
      <c r="L121" s="85"/>
      <c r="M121" s="85"/>
      <c r="N121" s="85"/>
      <c r="O121" s="85"/>
      <c r="P121" s="85"/>
      <c r="R121" s="85"/>
      <c r="S121" s="85"/>
      <c r="T121" s="85"/>
    </row>
    <row r="122" spans="2:20" ht="14.25" hidden="1" customHeight="1" x14ac:dyDescent="0.2">
      <c r="B122" s="114" t="s">
        <v>30</v>
      </c>
      <c r="C122" s="114">
        <f>IF(E6="Y",0,1)</f>
        <v>0</v>
      </c>
      <c r="G122" s="85"/>
    </row>
    <row r="123" spans="2:20" ht="14.25" hidden="1" customHeight="1" x14ac:dyDescent="0.2">
      <c r="B123" s="114" t="s">
        <v>151</v>
      </c>
      <c r="C123" s="114">
        <f>IF(E7="Y",0,1)</f>
        <v>0</v>
      </c>
      <c r="G123" s="85"/>
    </row>
    <row r="124" spans="2:20" ht="14.25" hidden="1" customHeight="1" x14ac:dyDescent="0.2">
      <c r="B124" s="114" t="s">
        <v>207</v>
      </c>
      <c r="C124" s="114">
        <f>IF(E8="Y",0,1)</f>
        <v>0</v>
      </c>
      <c r="G124" s="85"/>
    </row>
    <row r="125" spans="2:20" ht="14.25" hidden="1" customHeight="1" x14ac:dyDescent="0.2">
      <c r="B125" s="114" t="s">
        <v>33</v>
      </c>
      <c r="C125" s="114">
        <f>IF(E9="Y",0,1)</f>
        <v>0</v>
      </c>
      <c r="G125" s="85"/>
    </row>
    <row r="126" spans="2:20" ht="14.25" hidden="1" customHeight="1" x14ac:dyDescent="0.2">
      <c r="B126" s="113" t="s">
        <v>227</v>
      </c>
      <c r="C126" s="114"/>
      <c r="G126" s="85"/>
    </row>
    <row r="127" spans="2:20" ht="14.25" hidden="1" customHeight="1" x14ac:dyDescent="0.2">
      <c r="B127" s="114" t="s">
        <v>211</v>
      </c>
      <c r="C127" s="114">
        <f>IF(E11="Y",0,1)</f>
        <v>0</v>
      </c>
      <c r="G127" s="85"/>
    </row>
    <row r="128" spans="2:20" ht="14.25" hidden="1" customHeight="1" x14ac:dyDescent="0.2">
      <c r="B128" s="114" t="s">
        <v>249</v>
      </c>
      <c r="C128" s="114">
        <f>IF(E12="Y",0,1)</f>
        <v>0</v>
      </c>
      <c r="G128" s="85"/>
    </row>
    <row r="129" spans="2:7" ht="14.25" hidden="1" customHeight="1" x14ac:dyDescent="0.2">
      <c r="B129" s="113" t="s">
        <v>228</v>
      </c>
      <c r="C129" s="114"/>
      <c r="G129" s="85"/>
    </row>
    <row r="130" spans="2:7" ht="14.25" hidden="1" customHeight="1" x14ac:dyDescent="0.2">
      <c r="B130" s="114" t="s">
        <v>83</v>
      </c>
      <c r="C130" s="114">
        <f>IF(E14="Y",0,1)</f>
        <v>0</v>
      </c>
      <c r="G130" s="85"/>
    </row>
    <row r="131" spans="2:7" ht="14.25" hidden="1" customHeight="1" x14ac:dyDescent="0.2">
      <c r="B131" s="114" t="s">
        <v>129</v>
      </c>
      <c r="C131" s="114">
        <f>IF(E15="Y",0,1)</f>
        <v>0</v>
      </c>
      <c r="G131" s="85"/>
    </row>
    <row r="132" spans="2:7" ht="14.25" hidden="1" customHeight="1" x14ac:dyDescent="0.2">
      <c r="B132" s="114" t="s">
        <v>85</v>
      </c>
      <c r="C132" s="114">
        <f>IF(E16="Y",0,1)</f>
        <v>0</v>
      </c>
      <c r="G132" s="85"/>
    </row>
    <row r="133" spans="2:7" ht="14.25" hidden="1" customHeight="1" x14ac:dyDescent="0.2">
      <c r="B133" s="114" t="s">
        <v>231</v>
      </c>
      <c r="C133" s="114">
        <f>IF(SUM(C122:C132)&gt;0,1,0)</f>
        <v>0</v>
      </c>
      <c r="G133" s="85"/>
    </row>
    <row r="134" spans="2:7" ht="14.25" hidden="1" customHeight="1" x14ac:dyDescent="0.2">
      <c r="G134" s="85"/>
    </row>
    <row r="135" spans="2:7" ht="14.25" hidden="1" customHeight="1" x14ac:dyDescent="0.2">
      <c r="B135" s="109" t="s">
        <v>336</v>
      </c>
      <c r="C135" s="110"/>
      <c r="G135" s="85"/>
    </row>
    <row r="136" spans="2:7" ht="14.25" hidden="1" customHeight="1" x14ac:dyDescent="0.2">
      <c r="B136" s="109" t="s">
        <v>225</v>
      </c>
      <c r="C136" s="261" t="s">
        <v>235</v>
      </c>
      <c r="G136" s="85"/>
    </row>
    <row r="137" spans="2:7" ht="14.25" hidden="1" customHeight="1" x14ac:dyDescent="0.2">
      <c r="B137" s="110" t="s">
        <v>86</v>
      </c>
      <c r="C137" s="110">
        <f>IF(E18="Y",0,1)</f>
        <v>0</v>
      </c>
      <c r="G137" s="85"/>
    </row>
    <row r="138" spans="2:7" ht="14.25" hidden="1" customHeight="1" x14ac:dyDescent="0.2">
      <c r="B138" s="109" t="s">
        <v>227</v>
      </c>
      <c r="C138" s="110"/>
      <c r="G138" s="85"/>
    </row>
    <row r="139" spans="2:7" ht="14.25" hidden="1" customHeight="1" x14ac:dyDescent="0.2">
      <c r="B139" s="110" t="s">
        <v>208</v>
      </c>
      <c r="C139" s="110">
        <f>IF(E20="Y",0,1)</f>
        <v>0</v>
      </c>
      <c r="G139" s="85"/>
    </row>
    <row r="140" spans="2:7" ht="18.75" hidden="1" customHeight="1" x14ac:dyDescent="0.2">
      <c r="B140" s="110" t="s">
        <v>229</v>
      </c>
      <c r="C140" s="110">
        <f>IF(E21="Y",0,1)</f>
        <v>0</v>
      </c>
      <c r="G140" s="85"/>
    </row>
    <row r="141" spans="2:7" ht="18.75" hidden="1" customHeight="1" x14ac:dyDescent="0.2">
      <c r="B141" s="110" t="s">
        <v>230</v>
      </c>
      <c r="C141" s="110">
        <f>IF(E22="Y",0,1)</f>
        <v>1</v>
      </c>
      <c r="G141" s="85"/>
    </row>
    <row r="142" spans="2:7" hidden="1" x14ac:dyDescent="0.2">
      <c r="B142" s="110" t="s">
        <v>213</v>
      </c>
      <c r="C142" s="110">
        <f>IF(E23="Y",0,1)</f>
        <v>0</v>
      </c>
    </row>
    <row r="143" spans="2:7" hidden="1" x14ac:dyDescent="0.2">
      <c r="B143" s="109" t="s">
        <v>228</v>
      </c>
      <c r="C143" s="110"/>
    </row>
    <row r="144" spans="2:7" hidden="1" x14ac:dyDescent="0.2">
      <c r="B144" s="110" t="s">
        <v>91</v>
      </c>
      <c r="C144" s="110">
        <f>IF(E25="Y",0,1)</f>
        <v>0</v>
      </c>
    </row>
    <row r="145" spans="2:10" hidden="1" x14ac:dyDescent="0.2">
      <c r="B145" s="110" t="s">
        <v>337</v>
      </c>
      <c r="C145" s="110">
        <f>IF(SUM(C133,C137:C144)=0,0,1)</f>
        <v>1</v>
      </c>
    </row>
    <row r="146" spans="2:10" hidden="1" x14ac:dyDescent="0.2">
      <c r="C146" s="88"/>
      <c r="D146" s="88"/>
      <c r="E146" s="88"/>
      <c r="F146" s="88"/>
      <c r="G146" s="88"/>
      <c r="I146" s="88"/>
    </row>
    <row r="147" spans="2:10" hidden="1" x14ac:dyDescent="0.2">
      <c r="B147" s="113" t="s">
        <v>232</v>
      </c>
      <c r="C147" s="114"/>
      <c r="D147" s="114"/>
      <c r="E147" s="114"/>
      <c r="F147" s="114"/>
      <c r="G147" s="114"/>
      <c r="H147" s="114"/>
      <c r="I147" s="114"/>
      <c r="J147" s="114"/>
    </row>
    <row r="148" spans="2:10" hidden="1" x14ac:dyDescent="0.2">
      <c r="B148" s="264" t="str">
        <f>IF(C133=1,"Cwblhewch y tabl i weld amcangyfrifon wedi'u rhannu'n 2 ddeiliadaeth.","")</f>
        <v/>
      </c>
      <c r="C148" s="114" t="str">
        <f>IF($C$133=0,"2018/19","")</f>
        <v>2018/19</v>
      </c>
      <c r="D148" s="114" t="str">
        <f>IF($C$133=0,"2019/20","")</f>
        <v>2019/20</v>
      </c>
      <c r="E148" s="114" t="str">
        <f>IF($C$133=0,"2020/21","")</f>
        <v>2020/21</v>
      </c>
      <c r="F148" s="114" t="str">
        <f>IF($C$133=0,"2021/22","")</f>
        <v>2021/22</v>
      </c>
      <c r="G148" s="114" t="str">
        <f>IF($C$133=0,"2022/23","")</f>
        <v>2022/23</v>
      </c>
      <c r="H148" s="114"/>
      <c r="I148" s="114"/>
      <c r="J148" s="114"/>
    </row>
    <row r="149" spans="2:10" hidden="1" x14ac:dyDescent="0.2">
      <c r="B149" s="114" t="str">
        <f>IF($C$133=0,"Tai'r Farchnad","")</f>
        <v>Tai'r Farchnad</v>
      </c>
      <c r="C149" s="116">
        <f>IF($C$133=0,'Cyfrifiadau - Canol. &amp; De-orll'!C29,"")</f>
        <v>1123.92</v>
      </c>
      <c r="D149" s="116">
        <f>IF($C$133=0,'Cyfrifiadau - Canol. &amp; De-orll'!D29,"")</f>
        <v>1076.67</v>
      </c>
      <c r="E149" s="116">
        <f>IF($C$133=0,'Cyfrifiadau - Canol. &amp; De-orll'!E29,"")</f>
        <v>1076.04</v>
      </c>
      <c r="F149" s="116">
        <f>IF($C$133=0,'Cyfrifiadau - Canol. &amp; De-orll'!F29,"")</f>
        <v>1151.01</v>
      </c>
      <c r="G149" s="116">
        <f>IF($C$133=0,'Cyfrifiadau - Canol. &amp; De-orll'!G29,"")</f>
        <v>1072.26</v>
      </c>
      <c r="H149" s="114"/>
      <c r="I149" s="114"/>
      <c r="J149" s="114"/>
    </row>
    <row r="150" spans="2:10" hidden="1" x14ac:dyDescent="0.2">
      <c r="B150" s="114" t="str">
        <f>IF($C$133=0,"Tai Fforddiadwy","")</f>
        <v>Tai Fforddiadwy</v>
      </c>
      <c r="C150" s="116">
        <f>IF($C$133=0,'Cyfrifiadau - Canol. &amp; De-orll'!C30,"")</f>
        <v>890.67999999999984</v>
      </c>
      <c r="D150" s="116">
        <f>IF($C$133=0,'Cyfrifiadau - Canol. &amp; De-orll'!D30,"")</f>
        <v>862.92999999999984</v>
      </c>
      <c r="E150" s="116">
        <f>IF($C$133=0,'Cyfrifiadau - Canol. &amp; De-orll'!E30,"")</f>
        <v>862.56</v>
      </c>
      <c r="F150" s="116">
        <f>IF($C$133=0,'Cyfrifiadau - Canol. &amp; De-orll'!F30,"")</f>
        <v>906.58999999999992</v>
      </c>
      <c r="G150" s="116">
        <f>IF($C$133=0,'Cyfrifiadau - Canol. &amp; De-orll'!G30,"")</f>
        <v>860.33999999999992</v>
      </c>
      <c r="H150" s="114"/>
      <c r="I150" s="114"/>
      <c r="J150" s="114"/>
    </row>
    <row r="151" spans="2:10" hidden="1" x14ac:dyDescent="0.2">
      <c r="B151" s="114" t="str">
        <f>IF(C133=1,"Cwblhewch y tabl i weld amcangyfrifon wedi'u rhannu'n 2 ddeiliadaeth.","")</f>
        <v/>
      </c>
      <c r="C151" s="114" t="str">
        <f>IF($C$133=0,"2018/19","")</f>
        <v>2018/19</v>
      </c>
      <c r="D151" s="114" t="str">
        <f>IF($C$133=0,"2019/20","")</f>
        <v>2019/20</v>
      </c>
      <c r="E151" s="114" t="str">
        <f>IF($C$133=0,"2020/21","")</f>
        <v>2020/21</v>
      </c>
      <c r="F151" s="114" t="str">
        <f>IF($C$133=0,"2021/22","")</f>
        <v>2021/22</v>
      </c>
      <c r="G151" s="114" t="str">
        <f>IF($C$133=0,"2022/23","")</f>
        <v>2022/23</v>
      </c>
      <c r="H151" s="114"/>
      <c r="I151" s="114" t="str">
        <f>IF($C$133=1,"","Rhaniad Blynyddol Cyfartalog ar draws 5 mlynedd")</f>
        <v>Rhaniad Blynyddol Cyfartalog ar draws 5 mlynedd</v>
      </c>
      <c r="J151" s="114"/>
    </row>
    <row r="152" spans="2:10" hidden="1" x14ac:dyDescent="0.2">
      <c r="B152" s="114" t="str">
        <f>IF($C$133=0,"Tai'r Farchnad","")</f>
        <v>Tai'r Farchnad</v>
      </c>
      <c r="C152" s="117">
        <f>IF($C$133=1,"",C149/SUM(C$149:C$150))</f>
        <v>0.55788742182070894</v>
      </c>
      <c r="D152" s="117">
        <f t="shared" ref="D152:G153" si="8">IF($C$133=1,"",D149/SUM(D$149:D$150))</f>
        <v>0.55509898948236758</v>
      </c>
      <c r="E152" s="117">
        <f t="shared" si="8"/>
        <v>0.55506035283194055</v>
      </c>
      <c r="F152" s="117">
        <f t="shared" si="8"/>
        <v>0.55939444012441686</v>
      </c>
      <c r="G152" s="117">
        <f t="shared" si="8"/>
        <v>0.55482769326296189</v>
      </c>
      <c r="H152" s="114"/>
      <c r="I152" s="117">
        <f>IF($C$133=1,"",SUM(C149:G149)/SUM($C$149:$G$150))</f>
        <v>0.55650106243043618</v>
      </c>
      <c r="J152" s="114"/>
    </row>
    <row r="153" spans="2:10" hidden="1" x14ac:dyDescent="0.2">
      <c r="B153" s="114" t="str">
        <f>IF($C$133=0,"Tai Fforddiadwy","")</f>
        <v>Tai Fforddiadwy</v>
      </c>
      <c r="C153" s="117">
        <f>IF($C$133=1,"",C150/SUM(C$149:C$150))</f>
        <v>0.44211257817929112</v>
      </c>
      <c r="D153" s="117">
        <f t="shared" si="8"/>
        <v>0.44490101051763242</v>
      </c>
      <c r="E153" s="117">
        <f t="shared" si="8"/>
        <v>0.44493964716805939</v>
      </c>
      <c r="F153" s="117">
        <f t="shared" si="8"/>
        <v>0.4406055598755832</v>
      </c>
      <c r="G153" s="117">
        <f t="shared" si="8"/>
        <v>0.44517230673703817</v>
      </c>
      <c r="H153" s="114"/>
      <c r="I153" s="117">
        <f>IF($C$133=1,"",SUM(C150:G150)/SUM($C$149:$G$150))</f>
        <v>0.44349893756956382</v>
      </c>
      <c r="J153" s="114"/>
    </row>
    <row r="154" spans="2:10" hidden="1" x14ac:dyDescent="0.2">
      <c r="C154" s="88"/>
      <c r="D154" s="88"/>
      <c r="E154" s="88"/>
      <c r="F154" s="88"/>
      <c r="G154" s="88"/>
      <c r="I154" s="88"/>
    </row>
    <row r="155" spans="2:10" hidden="1" x14ac:dyDescent="0.2">
      <c r="C155" s="88"/>
      <c r="D155" s="88"/>
      <c r="E155" s="88"/>
      <c r="F155" s="88"/>
      <c r="G155" s="88"/>
      <c r="I155" s="88"/>
    </row>
    <row r="156" spans="2:10" hidden="1" x14ac:dyDescent="0.2">
      <c r="B156" s="109" t="s">
        <v>338</v>
      </c>
      <c r="C156" s="110"/>
      <c r="D156" s="110"/>
      <c r="E156" s="110"/>
      <c r="F156" s="110"/>
      <c r="G156" s="110"/>
      <c r="H156" s="110"/>
      <c r="I156" s="110"/>
      <c r="J156" s="110"/>
    </row>
    <row r="157" spans="2:10" ht="51" hidden="1" x14ac:dyDescent="0.2">
      <c r="B157" s="260" t="str">
        <f>IF(C145=1,"Cwblhewch y tabl i weld amcangyfrifon wedi'u rhannu'n 4 deiliadaeth.","")</f>
        <v>Cwblhewch y tabl i weld amcangyfrifon wedi'u rhannu'n 4 deiliadaeth.</v>
      </c>
      <c r="C157" s="110" t="str">
        <f>IF($C$145=0,"2018/19","")</f>
        <v/>
      </c>
      <c r="D157" s="110" t="str">
        <f>IF($C$145=0,"2019/20","")</f>
        <v/>
      </c>
      <c r="E157" s="110" t="str">
        <f>IF($C$145=0,"2020/21","")</f>
        <v/>
      </c>
      <c r="F157" s="110" t="str">
        <f>IF($C$145=0,"2021/22","")</f>
        <v/>
      </c>
      <c r="G157" s="110" t="str">
        <f>IF($C$145=0,"2022/23","")</f>
        <v/>
      </c>
      <c r="H157" s="110"/>
      <c r="I157" s="110"/>
      <c r="J157" s="110"/>
    </row>
    <row r="158" spans="2:10" hidden="1" x14ac:dyDescent="0.2">
      <c r="B158" s="110" t="str">
        <f>IF($C$145=0,"Perchen-feddiannydd","")</f>
        <v/>
      </c>
      <c r="C158" s="111" t="str">
        <f>IF($C$145=0,'Cyfrifiadau - Canol. &amp; De-orll'!C59,"")</f>
        <v/>
      </c>
      <c r="D158" s="111" t="str">
        <f>IF($C$145=0,'Cyfrifiadau - Canol. &amp; De-orll'!D59,"")</f>
        <v/>
      </c>
      <c r="E158" s="111" t="str">
        <f>IF($C$145=0,'Cyfrifiadau - Canol. &amp; De-orll'!E59,"")</f>
        <v/>
      </c>
      <c r="F158" s="111" t="str">
        <f>IF($C$145=0,'Cyfrifiadau - Canol. &amp; De-orll'!F59,"")</f>
        <v/>
      </c>
      <c r="G158" s="111" t="str">
        <f>IF($C$145=0,'Cyfrifiadau - Canol. &amp; De-orll'!G59,"")</f>
        <v/>
      </c>
      <c r="H158" s="110"/>
      <c r="I158" s="110"/>
      <c r="J158" s="110"/>
    </row>
    <row r="159" spans="2:10" hidden="1" x14ac:dyDescent="0.2">
      <c r="B159" s="110" t="str">
        <f>IF($C$145=0,"Y Sector Rhentu Preifat","")</f>
        <v/>
      </c>
      <c r="C159" s="111" t="str">
        <f>IF($C$145=0,'Cyfrifiadau - Canol. &amp; De-orll'!C60,"")</f>
        <v/>
      </c>
      <c r="D159" s="111" t="str">
        <f>IF($C$145=0,'Cyfrifiadau - Canol. &amp; De-orll'!D60,"")</f>
        <v/>
      </c>
      <c r="E159" s="111" t="str">
        <f>IF($C$145=0,'Cyfrifiadau - Canol. &amp; De-orll'!E60,"")</f>
        <v/>
      </c>
      <c r="F159" s="111" t="str">
        <f>IF($C$145=0,'Cyfrifiadau - Canol. &amp; De-orll'!F60,"")</f>
        <v/>
      </c>
      <c r="G159" s="111" t="str">
        <f>IF($C$145=0,'Cyfrifiadau - Canol. &amp; De-orll'!G60,"")</f>
        <v/>
      </c>
      <c r="H159" s="110"/>
      <c r="I159" s="110"/>
      <c r="J159" s="110"/>
    </row>
    <row r="160" spans="2:10" hidden="1" x14ac:dyDescent="0.2">
      <c r="B160" s="110" t="str">
        <f>IF($C$145=0,"Cymdeithasol","")</f>
        <v/>
      </c>
      <c r="C160" s="111" t="str">
        <f>IF($C$145=0,'Cyfrifiadau - Canol. &amp; De-orll'!C61,"")</f>
        <v/>
      </c>
      <c r="D160" s="111" t="str">
        <f>IF($C$145=0,'Cyfrifiadau - Canol. &amp; De-orll'!D61,"")</f>
        <v/>
      </c>
      <c r="E160" s="111" t="str">
        <f>IF($C$145=0,'Cyfrifiadau - Canol. &amp; De-orll'!E61,"")</f>
        <v/>
      </c>
      <c r="F160" s="111" t="str">
        <f>IF($C$145=0,'Cyfrifiadau - Canol. &amp; De-orll'!F61,"")</f>
        <v/>
      </c>
      <c r="G160" s="111" t="str">
        <f>IF($C$145=0,'Cyfrifiadau - Canol. &amp; De-orll'!G61,"")</f>
        <v/>
      </c>
      <c r="H160" s="110"/>
      <c r="I160" s="110"/>
      <c r="J160" s="110"/>
    </row>
    <row r="161" spans="2:24" hidden="1" x14ac:dyDescent="0.2">
      <c r="B161" s="110" t="str">
        <f>IF($C$145=0,"Canolradd","")</f>
        <v/>
      </c>
      <c r="C161" s="111" t="str">
        <f>IF($C$145=0,'Cyfrifiadau - Canol. &amp; De-orll'!C62,"")</f>
        <v/>
      </c>
      <c r="D161" s="111" t="str">
        <f>IF($C$145=0,'Cyfrifiadau - Canol. &amp; De-orll'!D62,"")</f>
        <v/>
      </c>
      <c r="E161" s="111" t="str">
        <f>IF($C$145=0,'Cyfrifiadau - Canol. &amp; De-orll'!E62,"")</f>
        <v/>
      </c>
      <c r="F161" s="111" t="str">
        <f>IF($C$145=0,'Cyfrifiadau - Canol. &amp; De-orll'!F62,"")</f>
        <v/>
      </c>
      <c r="G161" s="111" t="str">
        <f>IF($C$145=0,'Cyfrifiadau - Canol. &amp; De-orll'!G62,"")</f>
        <v/>
      </c>
      <c r="H161" s="110"/>
      <c r="I161" s="110"/>
      <c r="J161" s="110"/>
    </row>
    <row r="162" spans="2:24" ht="51" hidden="1" x14ac:dyDescent="0.2">
      <c r="B162" s="260" t="str">
        <f>IF(C145=1,"Cwblhewch y tabl i weld amcangyfrifon wedi'u rhannu'n 4 deiliadaeth.","")</f>
        <v>Cwblhewch y tabl i weld amcangyfrifon wedi'u rhannu'n 4 deiliadaeth.</v>
      </c>
      <c r="C162" s="110" t="str">
        <f>IF($C$145=0,"2018/19","")</f>
        <v/>
      </c>
      <c r="D162" s="110" t="str">
        <f>IF($C$145=0,"2019/20","")</f>
        <v/>
      </c>
      <c r="E162" s="110" t="str">
        <f>IF($C$145=0,"2020/21","")</f>
        <v/>
      </c>
      <c r="F162" s="110" t="str">
        <f>IF($C$145=0,"2021/22","")</f>
        <v/>
      </c>
      <c r="G162" s="110" t="str">
        <f>IF($C$145=0,"2022/23","")</f>
        <v/>
      </c>
      <c r="H162" s="110"/>
      <c r="I162" s="110" t="str">
        <f>IF(C145=1,"","Rhaniad Blynyddol Cyfartalog ar draws 5 mlynedd")</f>
        <v/>
      </c>
      <c r="J162" s="110"/>
    </row>
    <row r="163" spans="2:24" hidden="1" x14ac:dyDescent="0.2">
      <c r="B163" s="110" t="str">
        <f>IF($C$145=0,"Perchen-feddiannydd","")</f>
        <v/>
      </c>
      <c r="C163" s="112" t="str">
        <f>IF($C$145=1,"",C158/SUM(C$158:C$161))</f>
        <v/>
      </c>
      <c r="D163" s="112" t="str">
        <f t="shared" ref="D163:G163" si="9">IF($C$145=1,"",D158/SUM(D$158:D$161))</f>
        <v/>
      </c>
      <c r="E163" s="112" t="str">
        <f t="shared" si="9"/>
        <v/>
      </c>
      <c r="F163" s="112" t="str">
        <f t="shared" si="9"/>
        <v/>
      </c>
      <c r="G163" s="112" t="str">
        <f t="shared" si="9"/>
        <v/>
      </c>
      <c r="H163" s="110"/>
      <c r="I163" s="112" t="str">
        <f>IF($C$145=1,"",SUM(C158:G158)/SUM($C$158:$G$161))</f>
        <v/>
      </c>
      <c r="J163" s="110"/>
    </row>
    <row r="164" spans="2:24" hidden="1" x14ac:dyDescent="0.2">
      <c r="B164" s="110" t="str">
        <f>IF($C$145=0,"Y Sector Rhentu Preifat","")</f>
        <v/>
      </c>
      <c r="C164" s="112" t="str">
        <f t="shared" ref="C164:G166" si="10">IF($C$145=1,"",C159/SUM(C$158:C$161))</f>
        <v/>
      </c>
      <c r="D164" s="112" t="str">
        <f t="shared" si="10"/>
        <v/>
      </c>
      <c r="E164" s="112" t="str">
        <f t="shared" si="10"/>
        <v/>
      </c>
      <c r="F164" s="112" t="str">
        <f t="shared" si="10"/>
        <v/>
      </c>
      <c r="G164" s="112" t="str">
        <f t="shared" si="10"/>
        <v/>
      </c>
      <c r="H164" s="110"/>
      <c r="I164" s="112" t="str">
        <f t="shared" ref="I164:I166" si="11">IF($C$145=1,"",SUM(C159:G159)/SUM($C$158:$G$161))</f>
        <v/>
      </c>
      <c r="J164" s="110"/>
    </row>
    <row r="165" spans="2:24" hidden="1" x14ac:dyDescent="0.2">
      <c r="B165" s="110" t="str">
        <f>IF($C$145=0,"Rhent Cymdeithasol","")</f>
        <v/>
      </c>
      <c r="C165" s="112" t="str">
        <f t="shared" si="10"/>
        <v/>
      </c>
      <c r="D165" s="112" t="str">
        <f t="shared" si="10"/>
        <v/>
      </c>
      <c r="E165" s="112" t="str">
        <f t="shared" si="10"/>
        <v/>
      </c>
      <c r="F165" s="112" t="str">
        <f t="shared" si="10"/>
        <v/>
      </c>
      <c r="G165" s="112" t="str">
        <f t="shared" si="10"/>
        <v/>
      </c>
      <c r="H165" s="110"/>
      <c r="I165" s="112" t="str">
        <f t="shared" si="11"/>
        <v/>
      </c>
      <c r="J165" s="110"/>
    </row>
    <row r="166" spans="2:24" hidden="1" x14ac:dyDescent="0.2">
      <c r="B166" s="110" t="str">
        <f>IF($C$145=0,"Rhent Canolradd","")</f>
        <v/>
      </c>
      <c r="C166" s="112" t="str">
        <f>IF($C$145=1,"",C161/SUM(C$158:C$161))</f>
        <v/>
      </c>
      <c r="D166" s="112" t="str">
        <f t="shared" si="10"/>
        <v/>
      </c>
      <c r="E166" s="112" t="str">
        <f t="shared" si="10"/>
        <v/>
      </c>
      <c r="F166" s="112" t="str">
        <f t="shared" si="10"/>
        <v/>
      </c>
      <c r="G166" s="112" t="str">
        <f t="shared" si="10"/>
        <v/>
      </c>
      <c r="H166" s="110"/>
      <c r="I166" s="112" t="str">
        <f t="shared" si="11"/>
        <v/>
      </c>
      <c r="J166" s="110"/>
    </row>
    <row r="167" spans="2:24" hidden="1" x14ac:dyDescent="0.2">
      <c r="C167" s="88"/>
      <c r="D167" s="88"/>
      <c r="E167" s="88"/>
      <c r="F167" s="88"/>
      <c r="G167" s="88"/>
      <c r="I167" s="88"/>
    </row>
    <row r="168" spans="2:24" hidden="1" x14ac:dyDescent="0.2">
      <c r="B168" s="72" t="s">
        <v>205</v>
      </c>
      <c r="C168" s="88"/>
      <c r="D168" s="88"/>
      <c r="E168" s="88"/>
      <c r="F168" s="88"/>
      <c r="G168" s="88"/>
      <c r="I168" s="88"/>
    </row>
    <row r="169" spans="2:24" hidden="1" x14ac:dyDescent="0.2">
      <c r="C169" s="88" t="str">
        <f>"Mae'r ffigurau isod yn rhannu'r amcangyfrifon o'r angen o ran tai yn "&amp;D1&amp;" yn ddwy ddeiliadaeth, ac maent wedi'i seilio ar y rhagdybiaethau canlynol."</f>
        <v>Mae'r ffigurau isod yn rhannu'r amcangyfrifon o'r angen o ran tai yn Canolbarth a De-orllewin Cymru yn ddwy ddeiliadaeth, ac maent wedi'i seilio ar y rhagdybiaethau canlynol.</v>
      </c>
      <c r="D169" s="88" t="str">
        <f>"Yn dilyn yr uchod, caiff amcangyfrifon "&amp;D1&amp;" eu rhannu ymhellach yn bedair deiliadaeth. Caiff yr amcangyfrifon hyn eu cynhyrchu gan y defnyddiwr, ac maent yn seiliedig ar y rhagdybiaethau canlynol. "</f>
        <v xml:space="preserve">Yn dilyn yr uchod, caiff amcangyfrifon Canolbarth a De-orllewin Cymru eu rhannu ymhellach yn bedair deiliadaeth. Caiff yr amcangyfrifon hyn eu cynhyrchu gan y defnyddiwr, ac maent yn seiliedig ar y rhagdybiaethau canlynol. </v>
      </c>
      <c r="E169" s="88" t="s">
        <v>215</v>
      </c>
      <c r="F169" s="88" t="s">
        <v>216</v>
      </c>
      <c r="G169" s="88" t="s">
        <v>250</v>
      </c>
      <c r="H169" s="88" t="s">
        <v>251</v>
      </c>
      <c r="I169" s="88" t="s">
        <v>252</v>
      </c>
      <c r="J169" s="73" t="e">
        <f>". Mae gan brynwyr am y tro cyntaf gymhareb fforddiadwyedd o "&amp;C175&amp;" a gallant brynu eiddo am y tro cyntaf yn ôl  "&amp;C176&amp;" canradd dosbarthiad prisiau tai. "&amp;C177</f>
        <v>#VALUE!</v>
      </c>
    </row>
    <row r="170" spans="2:24" hidden="1" x14ac:dyDescent="0.2">
      <c r="B170" s="73" t="s">
        <v>30</v>
      </c>
      <c r="C170" s="88" t="str">
        <f>IF(D6="Amcanestyniad y Defnyddiwr","amcanestyniadau'r aelwyd gan y defnyddiwr,",("amcanestyniadau aelwydydd gan Llywodraeth Cymru sy'n seiliedig ar 2014 "&amp;"("&amp;D6&amp;")"))</f>
        <v>amcanestyniadau aelwydydd gan Llywodraeth Cymru sy'n seiliedig ar 2014 (Prif Amcanestyniadau)</v>
      </c>
      <c r="D170" s="88"/>
      <c r="E170" s="88"/>
      <c r="F170" s="88"/>
      <c r="G170" s="88"/>
      <c r="I170" s="88"/>
    </row>
    <row r="171" spans="2:24" ht="15" hidden="1" customHeight="1" x14ac:dyDescent="0.2">
      <c r="B171" s="73" t="s">
        <v>151</v>
      </c>
      <c r="C171" s="89" t="str">
        <f>IF(D7="Amcangyfrifon LlC",'Angen Presennol Nas Diwallwyd'!C12,'Angen Presennol Nas Diwallwyd'!C21)&amp;" aelwydydd o ran angen presennol nas diwallwyd "</f>
        <v xml:space="preserve">5645 aelwydydd o ran angen presennol nas diwallwyd </v>
      </c>
      <c r="D171" s="88"/>
      <c r="E171" s="88"/>
      <c r="F171" s="88"/>
      <c r="G171" s="88"/>
      <c r="J171" s="90"/>
      <c r="K171" s="90"/>
      <c r="L171" s="90"/>
      <c r="M171" s="90"/>
      <c r="N171" s="90"/>
      <c r="O171" s="90"/>
      <c r="P171" s="90"/>
      <c r="R171" s="90"/>
      <c r="S171" s="90"/>
      <c r="T171" s="90"/>
      <c r="U171" s="90"/>
      <c r="V171" s="90"/>
      <c r="W171" s="90"/>
      <c r="X171" s="90"/>
    </row>
    <row r="172" spans="2:24" hidden="1" x14ac:dyDescent="0.2">
      <c r="B172" s="73" t="s">
        <v>207</v>
      </c>
      <c r="C172" s="88" t="str">
        <f>IF(D8="Arall", " amcangyfrifon defnyddwyr "," Ddata Llywodraeth Cymru ")</f>
        <v xml:space="preserve"> Ddata Llywodraeth Cymru </v>
      </c>
      <c r="D172" s="88"/>
      <c r="E172" s="88"/>
      <c r="F172" s="88"/>
      <c r="G172" s="88"/>
      <c r="I172" s="90"/>
      <c r="J172" s="90"/>
      <c r="K172" s="90"/>
      <c r="L172" s="90"/>
      <c r="M172" s="90"/>
      <c r="N172" s="90"/>
      <c r="O172" s="90"/>
      <c r="P172" s="90"/>
      <c r="R172" s="90"/>
      <c r="S172" s="90"/>
      <c r="T172" s="90"/>
      <c r="U172" s="90"/>
      <c r="V172" s="90"/>
      <c r="W172" s="90"/>
      <c r="X172" s="90"/>
    </row>
    <row r="173" spans="2:24" hidden="1" x14ac:dyDescent="0.2">
      <c r="B173" s="73" t="s">
        <v>86</v>
      </c>
      <c r="C173" s="88" t="str">
        <f>IF(D18="Arall", " amcangyfrifon defnyddwyr"," Ddata Cofrestrfa Tir")</f>
        <v xml:space="preserve"> Ddata Cofrestrfa Tir</v>
      </c>
      <c r="D173" s="88"/>
      <c r="E173" s="88"/>
      <c r="F173" s="88"/>
      <c r="G173" s="88"/>
      <c r="I173" s="90"/>
      <c r="J173" s="90"/>
      <c r="K173" s="90"/>
      <c r="L173" s="90"/>
      <c r="M173" s="90"/>
      <c r="N173" s="90"/>
      <c r="O173" s="90"/>
      <c r="P173" s="90"/>
      <c r="R173" s="90"/>
      <c r="S173" s="90"/>
      <c r="T173" s="90"/>
      <c r="U173" s="90"/>
      <c r="V173" s="90"/>
      <c r="W173" s="90"/>
      <c r="X173" s="90"/>
    </row>
    <row r="174" spans="2:24" hidden="1" x14ac:dyDescent="0.2">
      <c r="B174" s="73" t="s">
        <v>33</v>
      </c>
      <c r="C174" s="88" t="str">
        <f>IF(D9="Arall", " amcangyfrifon defnyddwyr"," Ddata Llywodraeth Cymru")</f>
        <v xml:space="preserve"> Ddata Llywodraeth Cymru</v>
      </c>
      <c r="D174" s="88"/>
      <c r="E174" s="88"/>
      <c r="F174" s="88"/>
      <c r="G174" s="88"/>
      <c r="I174" s="90"/>
      <c r="J174" s="90"/>
      <c r="K174" s="90"/>
      <c r="L174" s="90"/>
      <c r="M174" s="90"/>
      <c r="N174" s="90"/>
      <c r="O174" s="90"/>
      <c r="P174" s="90"/>
      <c r="R174" s="90"/>
      <c r="S174" s="90"/>
      <c r="T174" s="90"/>
      <c r="U174" s="90"/>
      <c r="V174" s="90"/>
      <c r="W174" s="90"/>
      <c r="X174" s="90"/>
    </row>
    <row r="175" spans="2:24" hidden="1" x14ac:dyDescent="0.2">
      <c r="B175" s="73" t="s">
        <v>208</v>
      </c>
      <c r="C175" s="91">
        <f>C114</f>
        <v>3.8</v>
      </c>
      <c r="D175" s="88"/>
      <c r="E175" s="88"/>
      <c r="F175" s="88"/>
      <c r="G175" s="88"/>
      <c r="I175" s="90"/>
      <c r="J175" s="90"/>
      <c r="K175" s="90"/>
      <c r="L175" s="90"/>
      <c r="M175" s="90"/>
      <c r="N175" s="90"/>
      <c r="O175" s="90"/>
      <c r="P175" s="90"/>
      <c r="R175" s="90"/>
      <c r="S175" s="90"/>
      <c r="T175" s="90"/>
      <c r="U175" s="90"/>
      <c r="V175" s="90"/>
      <c r="W175" s="90"/>
      <c r="X175" s="90"/>
    </row>
    <row r="176" spans="2:24" hidden="1" x14ac:dyDescent="0.2">
      <c r="B176" s="73" t="s">
        <v>209</v>
      </c>
      <c r="C176" s="91">
        <f>C115</f>
        <v>25</v>
      </c>
      <c r="D176" s="88"/>
      <c r="E176" s="88"/>
      <c r="F176" s="88"/>
      <c r="G176" s="88"/>
      <c r="I176" s="90"/>
      <c r="J176" s="90"/>
      <c r="K176" s="90"/>
      <c r="L176" s="90"/>
      <c r="M176" s="90"/>
      <c r="N176" s="90"/>
      <c r="O176" s="90"/>
      <c r="P176" s="90"/>
      <c r="R176" s="90"/>
      <c r="S176" s="90"/>
      <c r="T176" s="90"/>
      <c r="U176" s="90"/>
      <c r="V176" s="90"/>
      <c r="W176" s="90"/>
      <c r="X176" s="90"/>
    </row>
    <row r="177" spans="2:23" hidden="1" x14ac:dyDescent="0.2">
      <c r="B177" s="73" t="s">
        <v>210</v>
      </c>
      <c r="C177" s="88" t="e">
        <f>C116*100&amp;"% o brynwyr potensial am y tro cyntaf sy'n mynd ymlaen i brynu eiddo. "</f>
        <v>#VALUE!</v>
      </c>
      <c r="D177" s="88"/>
      <c r="E177" s="88"/>
      <c r="F177" s="88"/>
      <c r="G177" s="88"/>
      <c r="I177" s="90"/>
      <c r="J177" s="90"/>
      <c r="K177" s="90"/>
      <c r="L177" s="90"/>
      <c r="M177" s="90"/>
      <c r="N177" s="90"/>
      <c r="O177" s="90"/>
      <c r="P177" s="90"/>
      <c r="R177" s="90"/>
      <c r="S177" s="90"/>
      <c r="T177" s="90"/>
      <c r="U177" s="90"/>
      <c r="V177" s="90"/>
      <c r="W177" s="90"/>
    </row>
    <row r="178" spans="2:23" hidden="1" x14ac:dyDescent="0.2">
      <c r="B178" s="73" t="s">
        <v>211</v>
      </c>
      <c r="C178" s="88" t="str">
        <f>"Gall aelwydydd sy'n gwario "&amp;C108*100&amp;"% o incwm yr aelwyd ar rent preifat canolrifol fforddio rhent preifat,"</f>
        <v>Gall aelwydydd sy'n gwario 30% o incwm yr aelwyd ar rent preifat canolrifol fforddio rhent preifat,</v>
      </c>
      <c r="D178" s="88"/>
      <c r="E178" s="88"/>
      <c r="F178" s="88"/>
      <c r="G178" s="88"/>
      <c r="I178" s="88"/>
    </row>
    <row r="179" spans="2:23" hidden="1" x14ac:dyDescent="0.2">
      <c r="B179" s="73" t="s">
        <v>213</v>
      </c>
      <c r="C179" s="88" t="str">
        <f>"Mae aelwydydd sy'n gwario "&amp;C117*100&amp;"% o incwm yr aelwyd ar rent preifat 30 canradd yn addas ar gyfer dai cymdeithasol."</f>
        <v>Mae aelwydydd sy'n gwario 35% o incwm yr aelwyd ar rent preifat 30 canradd yn addas ar gyfer dai cymdeithasol.</v>
      </c>
      <c r="D179" s="88"/>
      <c r="E179" s="88"/>
      <c r="F179" s="88"/>
      <c r="G179" s="88"/>
      <c r="I179" s="88"/>
    </row>
    <row r="180" spans="2:23" hidden="1" x14ac:dyDescent="0.2">
      <c r="B180" s="73" t="s">
        <v>82</v>
      </c>
      <c r="C180" s="88" t="str">
        <f>" a fydd yn cymryd "&amp;'Angen Presennol Nas Diwallwyd'!C28&amp;" mlynedd i'w diwallu."</f>
        <v xml:space="preserve"> a fydd yn cymryd 5 mlynedd i'w diwallu.</v>
      </c>
      <c r="D180" s="88"/>
      <c r="E180" s="88"/>
      <c r="F180" s="88"/>
      <c r="G180" s="88"/>
      <c r="I180" s="88"/>
    </row>
    <row r="181" spans="2:23" hidden="1" x14ac:dyDescent="0.2">
      <c r="B181" s="73" t="s">
        <v>83</v>
      </c>
      <c r="C181" s="88" t="str">
        <f>". Mae'r newid blynyddol i incwm canolrifol yr aelwyd yn seiliedig ar "&amp;IF(D14="Arall","amcangyfrifon defnyddwyr","amcangyfrifon wedi'u rhagosod")</f>
        <v>. Mae'r newid blynyddol i incwm canolrifol yr aelwyd yn seiliedig ar amcangyfrifon wedi'u rhagosod</v>
      </c>
      <c r="D181" s="88"/>
      <c r="E181" s="88"/>
      <c r="F181" s="88"/>
      <c r="G181" s="88"/>
      <c r="I181" s="88"/>
    </row>
    <row r="182" spans="2:23" hidden="1" x14ac:dyDescent="0.2">
      <c r="B182" s="73" t="s">
        <v>84</v>
      </c>
      <c r="C182" s="88" t="str">
        <f>", mae'r newid blynyddol i ddosbarthiad incwm yr aelwyd yn seiliedig ar "&amp;IF(D15="Arall","amcangyfrifon defnyddwyr","amcangyfrifon wedi'u rhagosod")</f>
        <v>, mae'r newid blynyddol i ddosbarthiad incwm yr aelwyd yn seiliedig ar amcangyfrifon wedi'u rhagosod</v>
      </c>
      <c r="D182" s="88"/>
      <c r="E182" s="88"/>
      <c r="F182" s="88"/>
      <c r="G182" s="88"/>
      <c r="I182" s="88"/>
    </row>
    <row r="183" spans="2:23" hidden="1" x14ac:dyDescent="0.2">
      <c r="B183" s="73" t="s">
        <v>212</v>
      </c>
      <c r="C183" s="88" t="str">
        <f>", mae'r newid blynyddol i brisiau tai yn seiliedig ar "&amp;IF(D25="Arall","amcangyfrifon defnyddwyr","amcangyfrifon wedi'u rhagosod")</f>
        <v>, mae'r newid blynyddol i brisiau tai yn seiliedig ar amcangyfrifon wedi'u rhagosod</v>
      </c>
      <c r="D183" s="88"/>
      <c r="E183" s="88"/>
      <c r="F183" s="88"/>
      <c r="G183" s="88"/>
      <c r="I183" s="88"/>
    </row>
    <row r="184" spans="2:23" hidden="1" x14ac:dyDescent="0.2">
      <c r="B184" s="73" t="s">
        <v>130</v>
      </c>
      <c r="C184" s="88" t="str">
        <f>" ac mae'r newid blynyddol i brisiau rhenti yn seiliedig ar "&amp;IF(D16="Arall","amcangyfrifon y defnyddwyr","amcangyfrifon wedi'u rhagosod.")</f>
        <v xml:space="preserve"> ac mae'r newid blynyddol i brisiau rhenti yn seiliedig ar amcangyfrifon wedi'u rhagosod.</v>
      </c>
      <c r="D184" s="88"/>
      <c r="E184" s="88"/>
      <c r="F184" s="88"/>
      <c r="G184" s="88"/>
      <c r="I184" s="88"/>
    </row>
    <row r="185" spans="2:23" hidden="1" x14ac:dyDescent="0.2">
      <c r="C185" s="88"/>
      <c r="D185" s="88"/>
      <c r="E185" s="88"/>
      <c r="F185" s="88"/>
      <c r="G185" s="88"/>
      <c r="I185" s="88"/>
    </row>
    <row r="186" spans="2:23" hidden="1" x14ac:dyDescent="0.2">
      <c r="B186" s="72" t="s">
        <v>217</v>
      </c>
      <c r="C186" s="88"/>
      <c r="D186" s="88"/>
      <c r="E186" s="88"/>
      <c r="F186" s="88"/>
      <c r="G186" s="88"/>
      <c r="I186" s="88"/>
    </row>
    <row r="187" spans="2:23" hidden="1" x14ac:dyDescent="0.2">
      <c r="B187" s="92" t="str">
        <f>C169&amp;E169&amp;C170&amp;F169&amp;C171&amp;C180&amp;H169&amp;C172&amp;I169&amp;C174&amp;C181&amp;C182&amp;C184</f>
        <v>Mae'r ffigurau isod yn rhannu'r amcangyfrifon o'r angen o ran tai yn Canolbarth a De-orllewin Cymru yn ddwy ddeiliadaeth, ac maent wedi'i seilio ar y rhagdybiaethau canlynol.Mae amcangyfrifon sylfaenol yr unedau tai ychwanegol wedi'u seilio ar  amcanestyniadau aelwydydd gan Llywodraeth Cymru sy'n seiliedig ar 2014 (Prif Amcanestyniadau), ac amcangyfrif o 5645 aelwydydd o ran angen presennol nas diwallwyd  a fydd yn cymryd 5 mlynedd i'w diwallu.Mae data ar incwm yn seiliedig ar  Ddata Llywodraeth Cymru ac mae data ar renti preifat yn seiliedig ar  Ddata Llywodraeth Cymru. Mae'r newid blynyddol i incwm canolrifol yr aelwyd yn seiliedig ar amcangyfrifon wedi'u rhagosod, mae'r newid blynyddol i ddosbarthiad incwm yr aelwyd yn seiliedig ar amcangyfrifon wedi'u rhagosod ac mae'r newid blynyddol i brisiau rhenti yn seiliedig ar amcangyfrifon wedi'u rhagosod.</v>
      </c>
      <c r="C187" s="88"/>
      <c r="D187" s="88"/>
      <c r="E187" s="88"/>
      <c r="F187" s="88"/>
      <c r="G187" s="88"/>
      <c r="I187" s="88"/>
    </row>
    <row r="188" spans="2:23" hidden="1" x14ac:dyDescent="0.2">
      <c r="B188" s="72" t="str">
        <f>IF(C133=1,"Ni fydd amcangyfrifon rhaniad 2 ddeiliadaeth yn ymddangos hyd nes bod y tabl uchod wedi'i gwblhau.",B187)</f>
        <v>Mae'r ffigurau isod yn rhannu'r amcangyfrifon o'r angen o ran tai yn Canolbarth a De-orllewin Cymru yn ddwy ddeiliadaeth, ac maent wedi'i seilio ar y rhagdybiaethau canlynol.Mae amcangyfrifon sylfaenol yr unedau tai ychwanegol wedi'u seilio ar  amcanestyniadau aelwydydd gan Llywodraeth Cymru sy'n seiliedig ar 2014 (Prif Amcanestyniadau), ac amcangyfrif o 5645 aelwydydd o ran angen presennol nas diwallwyd  a fydd yn cymryd 5 mlynedd i'w diwallu.Mae data ar incwm yn seiliedig ar  Ddata Llywodraeth Cymru ac mae data ar renti preifat yn seiliedig ar  Ddata Llywodraeth Cymru. Mae'r newid blynyddol i incwm canolrifol yr aelwyd yn seiliedig ar amcangyfrifon wedi'u rhagosod, mae'r newid blynyddol i ddosbarthiad incwm yr aelwyd yn seiliedig ar amcangyfrifon wedi'u rhagosod ac mae'r newid blynyddol i brisiau rhenti yn seiliedig ar amcangyfrifon wedi'u rhagosod.</v>
      </c>
      <c r="C188" s="88"/>
      <c r="D188" s="88"/>
      <c r="E188" s="88"/>
      <c r="F188" s="88"/>
      <c r="G188" s="88"/>
      <c r="I188" s="88"/>
    </row>
    <row r="189" spans="2:23" hidden="1" x14ac:dyDescent="0.2">
      <c r="B189" s="72"/>
      <c r="C189" s="88"/>
      <c r="D189" s="88"/>
      <c r="E189" s="88"/>
      <c r="F189" s="88"/>
      <c r="G189" s="88"/>
      <c r="I189" s="88"/>
    </row>
    <row r="190" spans="2:23" hidden="1" x14ac:dyDescent="0.2">
      <c r="B190" s="72" t="s">
        <v>339</v>
      </c>
      <c r="C190" s="88"/>
      <c r="D190" s="88"/>
      <c r="E190" s="88"/>
      <c r="F190" s="88"/>
      <c r="G190" s="88"/>
      <c r="I190" s="88"/>
    </row>
    <row r="191" spans="2:23" hidden="1" x14ac:dyDescent="0.2">
      <c r="B191" s="73" t="e">
        <f>D169&amp;G169&amp;C173&amp;C183&amp;J169&amp;C179</f>
        <v>#VALUE!</v>
      </c>
      <c r="C191" s="88"/>
      <c r="D191" s="88"/>
      <c r="E191" s="88"/>
      <c r="F191" s="88"/>
      <c r="G191" s="88"/>
      <c r="I191" s="88"/>
    </row>
    <row r="192" spans="2:23" hidden="1" x14ac:dyDescent="0.2">
      <c r="B192" s="72" t="str">
        <f>IF(C145=1,"Ni fydd amcangyfrifon rhaniad 4 deiliadaeth yn ymddangos hyd nes bod y tabl uchod wedi'i gwblhau.",B191)</f>
        <v>Ni fydd amcangyfrifon rhaniad 4 deiliadaeth yn ymddangos hyd nes bod y tabl uchod wedi'i gwblhau.</v>
      </c>
      <c r="C192" s="88"/>
      <c r="D192" s="88"/>
      <c r="E192" s="88"/>
      <c r="F192" s="88"/>
      <c r="G192" s="88"/>
      <c r="I192" s="88"/>
    </row>
    <row r="193" spans="2:9" hidden="1" x14ac:dyDescent="0.2">
      <c r="C193" s="88"/>
      <c r="D193" s="88"/>
      <c r="E193" s="88"/>
      <c r="F193" s="88"/>
      <c r="G193" s="88"/>
      <c r="I193" s="88"/>
    </row>
    <row r="194" spans="2:9" hidden="1" x14ac:dyDescent="0.2">
      <c r="B194" s="73" t="s">
        <v>236</v>
      </c>
      <c r="I194" s="88"/>
    </row>
    <row r="195" spans="2:9" hidden="1" x14ac:dyDescent="0.2">
      <c r="B195" s="73" t="s">
        <v>203</v>
      </c>
      <c r="I195" s="88"/>
    </row>
    <row r="196" spans="2:9" hidden="1" x14ac:dyDescent="0.2">
      <c r="B196" s="73" t="s">
        <v>237</v>
      </c>
      <c r="I196" s="88"/>
    </row>
    <row r="197" spans="2:9" hidden="1" x14ac:dyDescent="0.2">
      <c r="B197" s="73" t="s">
        <v>204</v>
      </c>
      <c r="I197" s="88"/>
    </row>
    <row r="198" spans="2:9" hidden="1" x14ac:dyDescent="0.2">
      <c r="B198" s="75" t="str">
        <f>"'Amcanestyniadau o Aelwyd'"</f>
        <v>'Amcanestyniadau o Aelwyd'</v>
      </c>
      <c r="I198" s="88"/>
    </row>
    <row r="199" spans="2:9" hidden="1" x14ac:dyDescent="0.2">
      <c r="B199" s="73" t="str">
        <f>"'Angen Presennol Nas Diwallwyd'"</f>
        <v>'Angen Presennol Nas Diwallwyd'</v>
      </c>
      <c r="I199" s="88"/>
    </row>
    <row r="200" spans="2:9" hidden="1" x14ac:dyDescent="0.2">
      <c r="B200" s="73" t="str">
        <f>"'Incwm (Canol. &amp; De-orll)'"</f>
        <v>'Incwm (Canol. &amp; De-orll)'</v>
      </c>
      <c r="I200" s="88"/>
    </row>
    <row r="201" spans="2:9" hidden="1" x14ac:dyDescent="0.2">
      <c r="B201" s="73" t="str">
        <f>"'Prisiau Tai (Canol. &amp; De-orll)'"</f>
        <v>'Prisiau Tai (Canol. &amp; De-orll)'</v>
      </c>
      <c r="I201" s="88"/>
    </row>
    <row r="202" spans="2:9" hidden="1" x14ac:dyDescent="0.2">
      <c r="B202" s="73" t="str">
        <f>"'Prisiau Rhenti'"</f>
        <v>'Prisiau Rhenti'</v>
      </c>
      <c r="I202" s="88"/>
    </row>
    <row r="203" spans="2:9" hidden="1" x14ac:dyDescent="0.2">
      <c r="B203" s="73" t="str">
        <f>"'Rhagdybiaeth Blynyddol'"</f>
        <v>'Rhagdybiaeth Blynyddol'</v>
      </c>
      <c r="I203" s="88"/>
    </row>
    <row r="204" spans="2:9" hidden="1" x14ac:dyDescent="0.2">
      <c r="B204" s="73" t="str">
        <f>"'Rhagolygon y Dyfodol'"</f>
        <v>'Rhagolygon y Dyfodol'</v>
      </c>
      <c r="I204" s="88"/>
    </row>
    <row r="205" spans="2:9" x14ac:dyDescent="0.2">
      <c r="I205" s="88"/>
    </row>
    <row r="206" spans="2:9" x14ac:dyDescent="0.2">
      <c r="I206" s="88"/>
    </row>
    <row r="207" spans="2:9" x14ac:dyDescent="0.2">
      <c r="I207" s="88"/>
    </row>
  </sheetData>
  <sheetProtection sheet="1" objects="1" scenarios="1"/>
  <mergeCells count="33">
    <mergeCell ref="I101:J101"/>
    <mergeCell ref="I99:J99"/>
    <mergeCell ref="B52:J53"/>
    <mergeCell ref="B1:C1"/>
    <mergeCell ref="F4:I4"/>
    <mergeCell ref="B5:B16"/>
    <mergeCell ref="F5:I5"/>
    <mergeCell ref="F6:I6"/>
    <mergeCell ref="F7:I7"/>
    <mergeCell ref="F8:I8"/>
    <mergeCell ref="F9:I9"/>
    <mergeCell ref="F11:I11"/>
    <mergeCell ref="F12:I12"/>
    <mergeCell ref="F14:I14"/>
    <mergeCell ref="F15:I15"/>
    <mergeCell ref="B2:I2"/>
    <mergeCell ref="F16:I16"/>
    <mergeCell ref="I102:J102"/>
    <mergeCell ref="I103:J103"/>
    <mergeCell ref="I104:J104"/>
    <mergeCell ref="F23:I23"/>
    <mergeCell ref="F25:I25"/>
    <mergeCell ref="B28:J32"/>
    <mergeCell ref="I62:J62"/>
    <mergeCell ref="I63:J63"/>
    <mergeCell ref="B66:J69"/>
    <mergeCell ref="B17:B25"/>
    <mergeCell ref="F17:I17"/>
    <mergeCell ref="F18:I18"/>
    <mergeCell ref="F20:I20"/>
    <mergeCell ref="F21:I21"/>
    <mergeCell ref="I61:J61"/>
    <mergeCell ref="F22:I22"/>
  </mergeCells>
  <conditionalFormatting sqref="E7:E9 E11:E12 E14:E16 E25:E27 E18 E20:E23">
    <cfRule type="expression" dxfId="11" priority="6">
      <formula>E7="Y"</formula>
    </cfRule>
  </conditionalFormatting>
  <conditionalFormatting sqref="E7:E12 E14:E16 E18 E20:E27">
    <cfRule type="expression" dxfId="10" priority="5">
      <formula>E7="N"</formula>
    </cfRule>
  </conditionalFormatting>
  <conditionalFormatting sqref="E13">
    <cfRule type="expression" dxfId="9" priority="4">
      <formula>E13="N"</formula>
    </cfRule>
  </conditionalFormatting>
  <conditionalFormatting sqref="E19">
    <cfRule type="expression" dxfId="8" priority="3">
      <formula>E19="N"</formula>
    </cfRule>
  </conditionalFormatting>
  <conditionalFormatting sqref="E6">
    <cfRule type="expression" dxfId="7" priority="2">
      <formula>E6="Y"</formula>
    </cfRule>
  </conditionalFormatting>
  <conditionalFormatting sqref="E6">
    <cfRule type="expression" dxfId="6" priority="1">
      <formula>E6="N"</formula>
    </cfRule>
  </conditionalFormatting>
  <pageMargins left="0.7" right="0.7" top="0.75" bottom="0.75" header="0.3" footer="0.3"/>
  <pageSetup paperSize="9" scale="35" orientation="portrait" horizontalDpi="300"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pageSetUpPr fitToPage="1"/>
  </sheetPr>
  <dimension ref="A1:X207"/>
  <sheetViews>
    <sheetView showGridLines="0" zoomScale="90" zoomScaleNormal="90" workbookViewId="0"/>
  </sheetViews>
  <sheetFormatPr defaultColWidth="9.140625" defaultRowHeight="12.75" x14ac:dyDescent="0.2"/>
  <cols>
    <col min="1" max="1" width="4.5703125" style="73" customWidth="1"/>
    <col min="2" max="2" width="18" style="73" customWidth="1"/>
    <col min="3" max="3" width="41.7109375" style="73" customWidth="1"/>
    <col min="4" max="4" width="20.5703125" style="73" customWidth="1"/>
    <col min="5" max="5" width="18.42578125" style="73" customWidth="1"/>
    <col min="6" max="6" width="15.5703125" style="73" customWidth="1"/>
    <col min="7" max="7" width="12.85546875" style="73" customWidth="1"/>
    <col min="8" max="14" width="13" style="73" customWidth="1"/>
    <col min="15" max="16384" width="9.140625" style="73"/>
  </cols>
  <sheetData>
    <row r="1" spans="1:11" ht="26.25" customHeight="1" x14ac:dyDescent="0.2">
      <c r="B1" s="368" t="s">
        <v>116</v>
      </c>
      <c r="C1" s="368"/>
      <c r="D1" s="101" t="s">
        <v>122</v>
      </c>
    </row>
    <row r="2" spans="1:11" ht="26.25" customHeight="1" x14ac:dyDescent="0.2">
      <c r="B2" s="378" t="s">
        <v>123</v>
      </c>
      <c r="C2" s="379"/>
      <c r="D2" s="379"/>
      <c r="E2" s="379"/>
      <c r="F2" s="379"/>
      <c r="G2" s="379"/>
      <c r="H2" s="379"/>
      <c r="I2" s="380"/>
    </row>
    <row r="4" spans="1:11" ht="30.75" customHeight="1" x14ac:dyDescent="0.25">
      <c r="C4" s="93" t="s">
        <v>74</v>
      </c>
      <c r="D4" s="100" t="s">
        <v>118</v>
      </c>
      <c r="E4" s="253" t="s">
        <v>233</v>
      </c>
      <c r="F4" s="362" t="s">
        <v>119</v>
      </c>
      <c r="G4" s="362"/>
      <c r="H4" s="362"/>
      <c r="I4" s="363"/>
      <c r="K4" s="70" t="s">
        <v>200</v>
      </c>
    </row>
    <row r="5" spans="1:11" ht="24.75" customHeight="1" x14ac:dyDescent="0.2">
      <c r="B5" s="354" t="s">
        <v>263</v>
      </c>
      <c r="C5" s="124" t="s">
        <v>78</v>
      </c>
      <c r="D5" s="125"/>
      <c r="E5" s="126"/>
      <c r="F5" s="375"/>
      <c r="G5" s="375"/>
      <c r="H5" s="375"/>
      <c r="I5" s="376"/>
    </row>
    <row r="6" spans="1:11" ht="15" customHeight="1" x14ac:dyDescent="0.2">
      <c r="A6" s="104"/>
      <c r="B6" s="355"/>
      <c r="C6" s="127" t="s">
        <v>133</v>
      </c>
      <c r="D6" s="128" t="str">
        <f>'Rhaniad y Ddeiliadaeth (Cymru)'!D6</f>
        <v>Prif Amcanestyniadau</v>
      </c>
      <c r="E6" s="129" t="str">
        <f>IF(OR(F6=$B$195,F6=$B$196),"Y","N")</f>
        <v>Y</v>
      </c>
      <c r="F6" s="364" t="str">
        <f>IF(D6="",B194,IF(D6="Arall",IF('Amcanestyniadau o Aelwyd'!J25=0,B197&amp;B198,B196),B195))</f>
        <v>Defnyddiwyd Data Wedi'i Ragosod</v>
      </c>
      <c r="G6" s="364"/>
      <c r="H6" s="364"/>
      <c r="I6" s="361"/>
    </row>
    <row r="7" spans="1:11" ht="15" customHeight="1" x14ac:dyDescent="0.2">
      <c r="A7" s="104"/>
      <c r="B7" s="355"/>
      <c r="C7" s="127" t="s">
        <v>126</v>
      </c>
      <c r="D7" s="128" t="str">
        <f>'Rhaniad y Ddeiliadaeth (Cymru)'!D7</f>
        <v>Amcangyfrifon LlC</v>
      </c>
      <c r="E7" s="129" t="str">
        <f>IF(OR(F7=$B$195,F7=$B$196),"Y","N")</f>
        <v>Y</v>
      </c>
      <c r="F7" s="361" t="str">
        <f>IF(D7="",B194,IF(D7="Arall",IF(ISBLANK('Angen Presennol Nas Diwallwyd'!C20),B197&amp;B199,B196),B195))</f>
        <v>Defnyddiwyd Data Wedi'i Ragosod</v>
      </c>
      <c r="G7" s="361"/>
      <c r="H7" s="361"/>
      <c r="I7" s="361"/>
    </row>
    <row r="8" spans="1:11" ht="15" customHeight="1" x14ac:dyDescent="0.2">
      <c r="A8" s="104"/>
      <c r="B8" s="355"/>
      <c r="C8" s="127" t="s">
        <v>79</v>
      </c>
      <c r="D8" s="128" t="str">
        <f>'Rhaniad y Ddeiliadaeth (Cymru)'!D8</f>
        <v>Amcangyfrifon LlC</v>
      </c>
      <c r="E8" s="129" t="str">
        <f>IF(OR(F8=$B$195,F8=$B$196),"Y","N")</f>
        <v>Y</v>
      </c>
      <c r="F8" s="361" t="str">
        <f>IF(D8="",B194,IF(D8="Arall",IF('Incwm (De-ddwyrain)'!N85=0,B196,B197&amp;B200),B195))</f>
        <v>Defnyddiwyd Data Wedi'i Ragosod</v>
      </c>
      <c r="G8" s="361"/>
      <c r="H8" s="361"/>
      <c r="I8" s="361"/>
    </row>
    <row r="9" spans="1:11" ht="15" customHeight="1" x14ac:dyDescent="0.2">
      <c r="A9" s="104"/>
      <c r="B9" s="355"/>
      <c r="C9" s="127" t="s">
        <v>80</v>
      </c>
      <c r="D9" s="128" t="str">
        <f>'Rhaniad y Ddeiliadaeth (Cymru)'!D9</f>
        <v>Data LlC ar Renti</v>
      </c>
      <c r="E9" s="129" t="str">
        <f>IF(OR(F9=$B$195,F9=$B$196),"Y","N")</f>
        <v>Y</v>
      </c>
      <c r="F9" s="364" t="str">
        <f>IF(D9="",B194,IF(D9="Arall",IF(OR(ISBLANK('Prisiau Rhenti'!C25),ISBLANK('Prisiau Rhenti'!D25)),B197&amp;B202,B196),B195))</f>
        <v>Defnyddiwyd Data Wedi'i Ragosod</v>
      </c>
      <c r="G9" s="364"/>
      <c r="H9" s="364"/>
      <c r="I9" s="361"/>
    </row>
    <row r="10" spans="1:11" ht="24.75" customHeight="1" x14ac:dyDescent="0.2">
      <c r="A10" s="104"/>
      <c r="B10" s="355"/>
      <c r="C10" s="124" t="s">
        <v>124</v>
      </c>
      <c r="D10" s="125"/>
      <c r="E10" s="130"/>
      <c r="F10" s="125"/>
      <c r="G10" s="131"/>
      <c r="H10" s="125"/>
      <c r="I10" s="132"/>
    </row>
    <row r="11" spans="1:11" ht="13.5" customHeight="1" x14ac:dyDescent="0.2">
      <c r="A11" s="104"/>
      <c r="B11" s="355"/>
      <c r="C11" s="133" t="s">
        <v>81</v>
      </c>
      <c r="D11" s="134" t="str">
        <f>'Rhaniad y Ddeiliadaeth (Cymru)'!D11</f>
        <v>Wedi'i ragosod</v>
      </c>
      <c r="E11" s="129" t="str">
        <f>IF(OR(F11=$B$195,F11=$B$196),"Y","N")</f>
        <v>Y</v>
      </c>
      <c r="F11" s="361" t="str">
        <f>'Rhaniad y Ddeiliadaeth (Cymru)'!F11:I11</f>
        <v>Defnyddiwyd Data Wedi'i Ragosod</v>
      </c>
      <c r="G11" s="361"/>
      <c r="H11" s="361"/>
      <c r="I11" s="361"/>
    </row>
    <row r="12" spans="1:11" ht="15" customHeight="1" x14ac:dyDescent="0.2">
      <c r="A12" s="104"/>
      <c r="B12" s="355"/>
      <c r="C12" s="133" t="s">
        <v>128</v>
      </c>
      <c r="D12" s="134" t="str">
        <f>'Rhaniad y Ddeiliadaeth (Cymru)'!D12</f>
        <v>Wedi'i ragosod</v>
      </c>
      <c r="E12" s="129" t="str">
        <f>IF(OR(F12=$B$195,F12=$B$196),"Y","N")</f>
        <v>Y</v>
      </c>
      <c r="F12" s="364" t="str">
        <f>'Rhaniad y Ddeiliadaeth (Cymru)'!F12:I12</f>
        <v>Defnyddiwyd Data Wedi'i Ragosod</v>
      </c>
      <c r="G12" s="364"/>
      <c r="H12" s="364"/>
      <c r="I12" s="361"/>
    </row>
    <row r="13" spans="1:11" ht="24.75" customHeight="1" x14ac:dyDescent="0.2">
      <c r="A13" s="104"/>
      <c r="B13" s="355"/>
      <c r="C13" s="124" t="s">
        <v>125</v>
      </c>
      <c r="D13" s="125"/>
      <c r="E13" s="130"/>
      <c r="F13" s="125"/>
      <c r="G13" s="131"/>
      <c r="H13" s="125"/>
      <c r="I13" s="132"/>
    </row>
    <row r="14" spans="1:11" ht="29.25" customHeight="1" x14ac:dyDescent="0.2">
      <c r="A14" s="104"/>
      <c r="B14" s="355"/>
      <c r="C14" s="135" t="s">
        <v>83</v>
      </c>
      <c r="D14" s="134" t="str">
        <f>'Rhaniad y Ddeiliadaeth (Cymru)'!D14</f>
        <v>Wedi'i ragosod</v>
      </c>
      <c r="E14" s="129" t="str">
        <f>IF(OR(F14=$B$195,F14=$B$196),"Y","N")</f>
        <v>Y</v>
      </c>
      <c r="F14" s="364" t="str">
        <f>'Rhaniad y Ddeiliadaeth (Cymru)'!F14:I14</f>
        <v>Defnyddiwyd Data Wedi'i Ragosod</v>
      </c>
      <c r="G14" s="364"/>
      <c r="H14" s="364"/>
      <c r="I14" s="361"/>
    </row>
    <row r="15" spans="1:11" ht="29.25" customHeight="1" x14ac:dyDescent="0.2">
      <c r="A15" s="104"/>
      <c r="B15" s="355"/>
      <c r="C15" s="135" t="s">
        <v>129</v>
      </c>
      <c r="D15" s="128" t="str">
        <f>'Rhaniad y Ddeiliadaeth (Cymru)'!D15</f>
        <v>Mwy o Anghydraddoldeb</v>
      </c>
      <c r="E15" s="129" t="str">
        <f>IF(OR(F15=$B$195,F15=$B$196),"Y","N")</f>
        <v>Y</v>
      </c>
      <c r="F15" s="364" t="str">
        <f>'Rhaniad y Ddeiliadaeth (Cymru)'!F15:I15</f>
        <v>Defnyddiwyd Data Wedi'i Ragosod</v>
      </c>
      <c r="G15" s="364"/>
      <c r="H15" s="364"/>
      <c r="I15" s="361"/>
    </row>
    <row r="16" spans="1:11" ht="17.25" customHeight="1" x14ac:dyDescent="0.2">
      <c r="A16" s="104"/>
      <c r="B16" s="356"/>
      <c r="C16" s="136" t="s">
        <v>130</v>
      </c>
      <c r="D16" s="134" t="str">
        <f>'Rhaniad y Ddeiliadaeth (Cymru)'!D16</f>
        <v>Wedi'i ragosod</v>
      </c>
      <c r="E16" s="137" t="str">
        <f>IF(OR(F16=$B$195,F16=$B$196),"Y","N")</f>
        <v>Y</v>
      </c>
      <c r="F16" s="364" t="str">
        <f>'Rhaniad y Ddeiliadaeth (Cymru)'!F16:I16</f>
        <v>Defnyddiwyd Data Wedi'i Ragosod</v>
      </c>
      <c r="G16" s="364"/>
      <c r="H16" s="364"/>
      <c r="I16" s="361"/>
    </row>
    <row r="17" spans="1:11" ht="24.75" customHeight="1" x14ac:dyDescent="0.2">
      <c r="A17" s="104"/>
      <c r="B17" s="357" t="s">
        <v>264</v>
      </c>
      <c r="C17" s="105" t="s">
        <v>323</v>
      </c>
      <c r="D17" s="142"/>
      <c r="E17" s="120"/>
      <c r="F17" s="381"/>
      <c r="G17" s="381"/>
      <c r="H17" s="381"/>
      <c r="I17" s="382"/>
    </row>
    <row r="18" spans="1:11" ht="31.5" customHeight="1" x14ac:dyDescent="0.2">
      <c r="A18" s="104"/>
      <c r="B18" s="358"/>
      <c r="C18" s="95" t="s">
        <v>86</v>
      </c>
      <c r="D18" s="118" t="str">
        <f>'Rhaniad y Ddeiliadaeth (Cymru)'!D18</f>
        <v>Data Cofrestrfa Tir</v>
      </c>
      <c r="E18" s="119" t="str">
        <f>IF(OR(F18=$B$195,F18=$B$196),"Y","N")</f>
        <v>Y</v>
      </c>
      <c r="F18" s="367" t="str">
        <f>IF(D18="",B194,IF(D18="Arall",IF('Prisiau Tai (De-ddwyrain)'!N85=1,B197&amp;B201,B196),B195))</f>
        <v>Defnyddiwyd Data Wedi'i Ragosod</v>
      </c>
      <c r="G18" s="367"/>
      <c r="H18" s="367"/>
      <c r="I18" s="367"/>
    </row>
    <row r="19" spans="1:11" ht="24.75" customHeight="1" x14ac:dyDescent="0.2">
      <c r="A19" s="104"/>
      <c r="B19" s="358"/>
      <c r="C19" s="94" t="s">
        <v>324</v>
      </c>
      <c r="D19" s="96"/>
      <c r="E19" s="121"/>
      <c r="F19" s="96"/>
      <c r="G19" s="97"/>
      <c r="H19" s="96"/>
      <c r="I19" s="98"/>
    </row>
    <row r="20" spans="1:11" ht="13.5" customHeight="1" x14ac:dyDescent="0.2">
      <c r="A20" s="104"/>
      <c r="B20" s="358"/>
      <c r="C20" s="256" t="s">
        <v>88</v>
      </c>
      <c r="D20" s="118" t="str">
        <f>'Rhaniad y Ddeiliadaeth (Cymru)'!D20</f>
        <v>Wedi'i ragosod</v>
      </c>
      <c r="E20" s="119" t="str">
        <f>IF(OR(F20=$B$195,F20=$B$196),"Y","N")</f>
        <v>Y</v>
      </c>
      <c r="F20" s="367" t="str">
        <f>'Rhaniad y Ddeiliadaeth (Cymru)'!F20:I20</f>
        <v>Defnyddiwyd Data Wedi'i Ragosod</v>
      </c>
      <c r="G20" s="367"/>
      <c r="H20" s="367"/>
      <c r="I20" s="367"/>
    </row>
    <row r="21" spans="1:11" ht="30" customHeight="1" x14ac:dyDescent="0.2">
      <c r="A21" s="104"/>
      <c r="B21" s="358"/>
      <c r="C21" s="257" t="s">
        <v>89</v>
      </c>
      <c r="D21" s="118">
        <f>'Rhaniad y Ddeiliadaeth (Cymru)'!D21</f>
        <v>25</v>
      </c>
      <c r="E21" s="119" t="str">
        <f>IF(OR(F21=$B$195,F21=$B$196),"Y","N")</f>
        <v>Y</v>
      </c>
      <c r="F21" s="367" t="str">
        <f>'Rhaniad y Ddeiliadaeth (Cymru)'!F21:I21</f>
        <v>Defnyddiwyd Data Wedi'i Ragosod</v>
      </c>
      <c r="G21" s="367"/>
      <c r="H21" s="367"/>
      <c r="I21" s="367"/>
    </row>
    <row r="22" spans="1:11" ht="31.5" customHeight="1" x14ac:dyDescent="0.2">
      <c r="A22" s="104"/>
      <c r="B22" s="358"/>
      <c r="C22" s="257" t="s">
        <v>131</v>
      </c>
      <c r="D22" s="258" t="str">
        <f>'Rhaniad y Ddeiliadaeth (Cymru)'!D22</f>
        <v>Gwerth defnyddiwr (nid oes gwerth wedi'i ragosod)</v>
      </c>
      <c r="E22" s="119" t="str">
        <f>IF(OR(F22=$B$195,F22=$B$196),"Y","N")</f>
        <v>N</v>
      </c>
      <c r="F22" s="367" t="str">
        <f>'Rhaniad y Ddeiliadaeth (Cymru)'!F22:I22</f>
        <v>Rhowch ddata'r defnyddiwr ar y daflen:'Rhagdybiaeth Blynyddol'</v>
      </c>
      <c r="G22" s="367"/>
      <c r="H22" s="367"/>
      <c r="I22" s="367"/>
    </row>
    <row r="23" spans="1:11" ht="15" customHeight="1" x14ac:dyDescent="0.2">
      <c r="A23" s="104"/>
      <c r="B23" s="358"/>
      <c r="C23" s="256" t="s">
        <v>90</v>
      </c>
      <c r="D23" s="118" t="str">
        <f>'Rhaniad y Ddeiliadaeth (Cymru)'!D23</f>
        <v>Wedi'i ragosod</v>
      </c>
      <c r="E23" s="119" t="str">
        <f>IF(OR(F23=$B$195,F23=$B$196),"Y","N")</f>
        <v>Y</v>
      </c>
      <c r="F23" s="367" t="str">
        <f>'Rhaniad y Ddeiliadaeth (Cymru)'!F23:I23</f>
        <v>Defnyddiwyd Data Wedi'i Ragosod</v>
      </c>
      <c r="G23" s="367"/>
      <c r="H23" s="367"/>
      <c r="I23" s="367"/>
    </row>
    <row r="24" spans="1:11" ht="24.75" customHeight="1" x14ac:dyDescent="0.2">
      <c r="A24" s="104"/>
      <c r="B24" s="358"/>
      <c r="C24" s="94" t="s">
        <v>325</v>
      </c>
      <c r="D24" s="96"/>
      <c r="E24" s="121"/>
      <c r="F24" s="96"/>
      <c r="G24" s="97"/>
      <c r="H24" s="96"/>
      <c r="I24" s="98"/>
    </row>
    <row r="25" spans="1:11" ht="15" customHeight="1" x14ac:dyDescent="0.2">
      <c r="A25" s="104"/>
      <c r="B25" s="359"/>
      <c r="C25" s="300" t="s">
        <v>212</v>
      </c>
      <c r="D25" s="120" t="str">
        <f>'Rhaniad y Ddeiliadaeth (Cymru)'!D25</f>
        <v>Wedi'i ragosod</v>
      </c>
      <c r="E25" s="121" t="str">
        <f>IF(OR(F25=$B$195,F25=$B$196),"Y","N")</f>
        <v>Y</v>
      </c>
      <c r="F25" s="370" t="str">
        <f>'Rhaniad y Ddeiliadaeth (Cymru)'!F25:I25</f>
        <v>Defnyddiwyd Data Wedi'i Ragosod</v>
      </c>
      <c r="G25" s="370"/>
      <c r="H25" s="370"/>
      <c r="I25" s="370"/>
    </row>
    <row r="26" spans="1:11" ht="15" customHeight="1" x14ac:dyDescent="0.2">
      <c r="C26" s="76"/>
      <c r="D26" s="77"/>
      <c r="E26" s="74"/>
      <c r="F26" s="78"/>
      <c r="G26" s="78"/>
      <c r="H26" s="78"/>
      <c r="I26" s="78"/>
    </row>
    <row r="27" spans="1:11" ht="15" customHeight="1" x14ac:dyDescent="0.2">
      <c r="B27" s="79" t="str">
        <f>IF(C133=1,"","Sylwadau ar y rhagdybiaethau a ddewiswyd ar gyfer rhaniad o ddwy ddeiliadaeth")</f>
        <v>Sylwadau ar y rhagdybiaethau a ddewiswyd ar gyfer rhaniad o ddwy ddeiliadaeth</v>
      </c>
      <c r="D27" s="77"/>
      <c r="E27" s="74"/>
      <c r="F27" s="78"/>
      <c r="G27" s="78"/>
      <c r="H27" s="78"/>
      <c r="I27" s="78"/>
    </row>
    <row r="28" spans="1:11" ht="15" customHeight="1" x14ac:dyDescent="0.2">
      <c r="B28" s="360" t="str">
        <f>B188</f>
        <v>Mae'r ffigurau isod yn rhannu'r amcangyfrifon o'r angen o ran tai yn De-ddwyrain Cymru yn ddwy ddeiliadaeth, ac maent wedi'i seilio ar y rhagdybiaethau canlynol.Mae amcangyfrifon sylfaenol yr unedau tai ychwanegol wedi'u seilio ar  amcanestyniadau aelwydydd gan Llywodraeth Cymru sy'n seiliedig ar 2014 (Prif Amcanestyniadau), ac amcangyfrif o 5645 aelwydydd o ran angen presennol nas diwallwyd  a fydd yn cymryd 5 mlynedd i'w diwallu.Mae data ar incwm yn seiliedig ar  Ddata Llywodraeth Cymru ac mae data ar renti preifat yn seiliedig ar  Ddata Llywodraeth Cymru. Mae'r newid blynyddol i incwm canolrifol yr aelwyd yn seiliedig ar amcangyfrifon wedi'u rhagosod, mae'r newid blynyddol i ddosbarthiad incwm yr aelwyd yn seiliedig ar amcangyfrifon wedi'u rhagosod ac mae'r newid blynyddol i brisiau rhenti yn seiliedig ar amcangyfrifon wedi'u rhagosod.</v>
      </c>
      <c r="C28" s="360"/>
      <c r="D28" s="360"/>
      <c r="E28" s="360"/>
      <c r="F28" s="360"/>
      <c r="G28" s="360"/>
      <c r="H28" s="360"/>
      <c r="I28" s="360"/>
      <c r="J28" s="360"/>
      <c r="K28" s="107"/>
    </row>
    <row r="29" spans="1:11" ht="15" customHeight="1" x14ac:dyDescent="0.2">
      <c r="B29" s="360"/>
      <c r="C29" s="360"/>
      <c r="D29" s="360"/>
      <c r="E29" s="360"/>
      <c r="F29" s="360"/>
      <c r="G29" s="360"/>
      <c r="H29" s="360"/>
      <c r="I29" s="360"/>
      <c r="J29" s="360"/>
      <c r="K29" s="107"/>
    </row>
    <row r="30" spans="1:11" ht="15" customHeight="1" x14ac:dyDescent="0.2">
      <c r="B30" s="360"/>
      <c r="C30" s="360"/>
      <c r="D30" s="360"/>
      <c r="E30" s="360"/>
      <c r="F30" s="360"/>
      <c r="G30" s="360"/>
      <c r="H30" s="360"/>
      <c r="I30" s="360"/>
      <c r="J30" s="360"/>
      <c r="K30" s="107"/>
    </row>
    <row r="31" spans="1:11" ht="15" customHeight="1" x14ac:dyDescent="0.2">
      <c r="B31" s="360"/>
      <c r="C31" s="360"/>
      <c r="D31" s="360"/>
      <c r="E31" s="360"/>
      <c r="F31" s="360"/>
      <c r="G31" s="360"/>
      <c r="H31" s="360"/>
      <c r="I31" s="360"/>
      <c r="J31" s="360"/>
      <c r="K31" s="107"/>
    </row>
    <row r="32" spans="1:11" ht="15" customHeight="1" x14ac:dyDescent="0.2">
      <c r="B32" s="360"/>
      <c r="C32" s="360"/>
      <c r="D32" s="360"/>
      <c r="E32" s="360"/>
      <c r="F32" s="360"/>
      <c r="G32" s="360"/>
      <c r="H32" s="360"/>
      <c r="I32" s="360"/>
      <c r="J32" s="360"/>
      <c r="K32" s="107"/>
    </row>
    <row r="33" spans="2:11" ht="15" customHeight="1" x14ac:dyDescent="0.2">
      <c r="B33" s="108"/>
      <c r="C33" s="141"/>
      <c r="D33" s="141"/>
      <c r="E33" s="141"/>
      <c r="F33" s="141"/>
      <c r="G33" s="141"/>
      <c r="H33" s="141"/>
      <c r="I33" s="141"/>
      <c r="J33" s="141"/>
      <c r="K33" s="107"/>
    </row>
    <row r="34" spans="2:11" ht="15" customHeight="1" x14ac:dyDescent="0.2">
      <c r="B34" s="108"/>
      <c r="C34" s="141"/>
      <c r="D34" s="141"/>
      <c r="E34" s="141"/>
      <c r="F34" s="141"/>
      <c r="G34" s="141"/>
      <c r="H34" s="141"/>
      <c r="I34" s="141"/>
      <c r="J34" s="141"/>
      <c r="K34" s="107"/>
    </row>
    <row r="35" spans="2:11" ht="15" customHeight="1" x14ac:dyDescent="0.2">
      <c r="B35" s="108"/>
      <c r="C35" s="141"/>
      <c r="D35" s="141"/>
      <c r="E35" s="141"/>
      <c r="F35" s="141"/>
      <c r="G35" s="141"/>
      <c r="H35" s="141"/>
      <c r="I35" s="141"/>
      <c r="J35" s="141"/>
      <c r="K35" s="107"/>
    </row>
    <row r="36" spans="2:11" ht="15" customHeight="1" x14ac:dyDescent="0.2">
      <c r="B36" s="108"/>
      <c r="C36" s="141"/>
      <c r="D36" s="141"/>
      <c r="E36" s="141"/>
      <c r="F36" s="141"/>
      <c r="G36" s="141"/>
      <c r="H36" s="141"/>
      <c r="I36" s="141"/>
      <c r="J36" s="141"/>
      <c r="K36" s="107"/>
    </row>
    <row r="37" spans="2:11" ht="15" customHeight="1" x14ac:dyDescent="0.2">
      <c r="B37" s="108"/>
      <c r="C37" s="141"/>
      <c r="D37" s="141"/>
      <c r="E37" s="141"/>
      <c r="F37" s="141"/>
      <c r="G37" s="141"/>
      <c r="H37" s="141"/>
      <c r="I37" s="141"/>
      <c r="J37" s="141"/>
      <c r="K37" s="107"/>
    </row>
    <row r="38" spans="2:11" ht="15" customHeight="1" x14ac:dyDescent="0.2">
      <c r="B38" s="141"/>
      <c r="C38" s="141"/>
      <c r="D38" s="141"/>
      <c r="E38" s="141"/>
      <c r="F38" s="141"/>
      <c r="G38" s="141"/>
      <c r="H38" s="141"/>
      <c r="I38" s="141"/>
      <c r="J38" s="141"/>
      <c r="K38" s="107"/>
    </row>
    <row r="39" spans="2:11" ht="15" customHeight="1" x14ac:dyDescent="0.2">
      <c r="B39" s="141"/>
      <c r="C39" s="141"/>
      <c r="D39" s="141"/>
      <c r="E39" s="141"/>
      <c r="F39" s="141"/>
      <c r="G39" s="141"/>
      <c r="H39" s="141"/>
      <c r="I39" s="141"/>
      <c r="J39" s="141"/>
      <c r="K39" s="107"/>
    </row>
    <row r="40" spans="2:11" ht="15" customHeight="1" x14ac:dyDescent="0.2">
      <c r="B40" s="141"/>
      <c r="C40" s="141"/>
      <c r="D40" s="141"/>
      <c r="E40" s="141"/>
      <c r="F40" s="141"/>
      <c r="G40" s="141"/>
      <c r="H40" s="141"/>
      <c r="I40" s="141"/>
      <c r="J40" s="141"/>
      <c r="K40" s="107"/>
    </row>
    <row r="41" spans="2:11" ht="15" customHeight="1" x14ac:dyDescent="0.2">
      <c r="B41" s="141"/>
      <c r="C41" s="141"/>
      <c r="D41" s="141"/>
      <c r="E41" s="141"/>
      <c r="F41" s="141"/>
      <c r="G41" s="141"/>
      <c r="H41" s="141"/>
      <c r="I41" s="141"/>
      <c r="J41" s="141"/>
      <c r="K41" s="107"/>
    </row>
    <row r="42" spans="2:11" ht="15" customHeight="1" x14ac:dyDescent="0.2">
      <c r="B42" s="141"/>
      <c r="C42" s="141"/>
      <c r="D42" s="141"/>
      <c r="E42" s="141"/>
      <c r="F42" s="141"/>
      <c r="G42" s="141"/>
      <c r="H42" s="141"/>
      <c r="I42" s="141"/>
      <c r="J42" s="141"/>
      <c r="K42" s="107"/>
    </row>
    <row r="43" spans="2:11" ht="15" customHeight="1" x14ac:dyDescent="0.2">
      <c r="B43" s="141"/>
      <c r="C43" s="141"/>
      <c r="D43" s="141"/>
      <c r="E43" s="141"/>
      <c r="F43" s="141"/>
      <c r="G43" s="141"/>
      <c r="H43" s="141"/>
      <c r="I43" s="141"/>
      <c r="J43" s="141"/>
      <c r="K43" s="107"/>
    </row>
    <row r="44" spans="2:11" ht="15" customHeight="1" x14ac:dyDescent="0.2">
      <c r="B44" s="141"/>
      <c r="C44" s="141"/>
      <c r="D44" s="141"/>
      <c r="E44" s="141"/>
      <c r="F44" s="141"/>
      <c r="G44" s="141"/>
      <c r="H44" s="141"/>
      <c r="I44" s="141"/>
      <c r="J44" s="141"/>
      <c r="K44" s="107"/>
    </row>
    <row r="45" spans="2:11" ht="15" customHeight="1" x14ac:dyDescent="0.2">
      <c r="B45" s="141"/>
      <c r="C45" s="141"/>
      <c r="D45" s="141"/>
      <c r="E45" s="141"/>
      <c r="F45" s="141"/>
      <c r="G45" s="141"/>
      <c r="H45" s="141"/>
      <c r="I45" s="141"/>
      <c r="J45" s="141"/>
      <c r="K45" s="107"/>
    </row>
    <row r="46" spans="2:11" ht="15" customHeight="1" x14ac:dyDescent="0.2">
      <c r="B46" s="141"/>
      <c r="C46" s="141"/>
      <c r="D46" s="141"/>
      <c r="E46" s="141"/>
      <c r="F46" s="141"/>
      <c r="G46" s="141"/>
      <c r="H46" s="141"/>
      <c r="I46" s="141"/>
      <c r="J46" s="141"/>
      <c r="K46" s="107"/>
    </row>
    <row r="47" spans="2:11" ht="15" customHeight="1" x14ac:dyDescent="0.2">
      <c r="B47" s="141"/>
      <c r="C47" s="141"/>
      <c r="D47" s="141"/>
      <c r="E47" s="141"/>
      <c r="F47" s="141"/>
      <c r="G47" s="141"/>
      <c r="H47" s="141"/>
      <c r="I47" s="141"/>
      <c r="J47" s="141"/>
      <c r="K47" s="107"/>
    </row>
    <row r="48" spans="2:11" ht="15" customHeight="1" x14ac:dyDescent="0.2">
      <c r="B48" s="141"/>
      <c r="C48" s="141"/>
      <c r="D48" s="141"/>
      <c r="E48" s="141"/>
      <c r="F48" s="141"/>
      <c r="G48" s="141"/>
      <c r="H48" s="141"/>
      <c r="I48" s="141"/>
      <c r="J48" s="141"/>
      <c r="K48" s="107"/>
    </row>
    <row r="49" spans="2:11" ht="15" customHeight="1" x14ac:dyDescent="0.2">
      <c r="B49" s="141"/>
      <c r="C49" s="141"/>
      <c r="D49" s="141"/>
      <c r="E49" s="141"/>
      <c r="F49" s="141"/>
      <c r="G49" s="141"/>
      <c r="H49" s="141"/>
      <c r="I49" s="141"/>
      <c r="J49" s="141"/>
      <c r="K49" s="107"/>
    </row>
    <row r="50" spans="2:11" ht="15" customHeight="1" x14ac:dyDescent="0.2">
      <c r="B50" s="141"/>
      <c r="C50" s="141"/>
      <c r="D50" s="141"/>
      <c r="E50" s="141"/>
      <c r="F50" s="141"/>
      <c r="G50" s="141"/>
      <c r="H50" s="141"/>
      <c r="I50" s="141"/>
      <c r="J50" s="141"/>
      <c r="K50" s="107"/>
    </row>
    <row r="51" spans="2:11" ht="15" customHeight="1" x14ac:dyDescent="0.2">
      <c r="B51" s="141"/>
      <c r="C51" s="141"/>
      <c r="D51" s="141"/>
      <c r="E51" s="141"/>
      <c r="F51" s="141"/>
      <c r="G51" s="141"/>
      <c r="H51" s="141"/>
      <c r="I51" s="141"/>
      <c r="J51" s="141"/>
      <c r="K51" s="107"/>
    </row>
    <row r="52" spans="2:11" ht="15" customHeight="1" x14ac:dyDescent="0.2">
      <c r="B52" s="377" t="s">
        <v>287</v>
      </c>
      <c r="C52" s="347"/>
      <c r="D52" s="347"/>
      <c r="E52" s="347"/>
      <c r="F52" s="347"/>
      <c r="G52" s="347"/>
      <c r="H52" s="347"/>
      <c r="I52" s="347"/>
      <c r="J52" s="348"/>
      <c r="K52" s="107"/>
    </row>
    <row r="53" spans="2:11" ht="15" customHeight="1" x14ac:dyDescent="0.2">
      <c r="B53" s="349"/>
      <c r="C53" s="350"/>
      <c r="D53" s="350"/>
      <c r="E53" s="350"/>
      <c r="F53" s="350"/>
      <c r="G53" s="350"/>
      <c r="H53" s="350"/>
      <c r="I53" s="350"/>
      <c r="J53" s="351"/>
      <c r="K53" s="107"/>
    </row>
    <row r="54" spans="2:11" ht="15" customHeight="1" x14ac:dyDescent="0.2">
      <c r="B54" s="242"/>
      <c r="C54" s="242"/>
      <c r="D54" s="242"/>
      <c r="E54" s="242"/>
      <c r="F54" s="242"/>
      <c r="G54" s="242"/>
      <c r="H54" s="242"/>
      <c r="I54" s="242"/>
      <c r="J54" s="242"/>
      <c r="K54" s="107"/>
    </row>
    <row r="55" spans="2:11" ht="15" customHeight="1" x14ac:dyDescent="0.2">
      <c r="B55" s="83" t="s">
        <v>241</v>
      </c>
      <c r="C55" s="84"/>
      <c r="D55" s="84"/>
      <c r="E55" s="84"/>
      <c r="F55" s="84"/>
      <c r="G55" s="84"/>
      <c r="K55" s="107"/>
    </row>
    <row r="56" spans="2:11" ht="15" customHeight="1" x14ac:dyDescent="0.2">
      <c r="B56" s="144" t="str">
        <f>B148</f>
        <v/>
      </c>
      <c r="C56" s="145" t="str">
        <f t="shared" ref="C56:G56" si="0">C148</f>
        <v>2018/19</v>
      </c>
      <c r="D56" s="145" t="str">
        <f t="shared" si="0"/>
        <v>2019/20</v>
      </c>
      <c r="E56" s="145" t="str">
        <f t="shared" si="0"/>
        <v>2020/21</v>
      </c>
      <c r="F56" s="145" t="str">
        <f t="shared" si="0"/>
        <v>2021/22</v>
      </c>
      <c r="G56" s="145" t="str">
        <f t="shared" si="0"/>
        <v>2022/23</v>
      </c>
      <c r="K56" s="107"/>
    </row>
    <row r="57" spans="2:11" ht="15" customHeight="1" x14ac:dyDescent="0.2">
      <c r="B57" s="144" t="str">
        <f t="shared" ref="B57:G58" si="1">B149</f>
        <v>Tai'r Farchnad</v>
      </c>
      <c r="C57" s="146">
        <f t="shared" si="1"/>
        <v>2432.4</v>
      </c>
      <c r="D57" s="146">
        <f t="shared" si="1"/>
        <v>2369.4</v>
      </c>
      <c r="E57" s="146">
        <f t="shared" si="1"/>
        <v>2412.6</v>
      </c>
      <c r="F57" s="146">
        <f t="shared" si="1"/>
        <v>2571</v>
      </c>
      <c r="G57" s="146">
        <f t="shared" si="1"/>
        <v>2465.4</v>
      </c>
      <c r="K57" s="107"/>
    </row>
    <row r="58" spans="2:11" ht="15" customHeight="1" x14ac:dyDescent="0.2">
      <c r="B58" s="144" t="str">
        <f t="shared" si="1"/>
        <v>Tai Fforddiadwy</v>
      </c>
      <c r="C58" s="146">
        <f>C150</f>
        <v>2270.9999999999995</v>
      </c>
      <c r="D58" s="146">
        <f t="shared" si="1"/>
        <v>2228.9999999999995</v>
      </c>
      <c r="E58" s="146">
        <f t="shared" si="1"/>
        <v>2257.7999999999997</v>
      </c>
      <c r="F58" s="146">
        <f t="shared" si="1"/>
        <v>2363.3999999999996</v>
      </c>
      <c r="G58" s="146">
        <f t="shared" si="1"/>
        <v>2292.9999999999995</v>
      </c>
      <c r="K58" s="107"/>
    </row>
    <row r="59" spans="2:11" ht="15" customHeight="1" x14ac:dyDescent="0.2">
      <c r="K59" s="107"/>
    </row>
    <row r="60" spans="2:11" ht="15" customHeight="1" x14ac:dyDescent="0.2">
      <c r="B60" s="72" t="s">
        <v>247</v>
      </c>
      <c r="K60" s="107"/>
    </row>
    <row r="61" spans="2:11" ht="15" customHeight="1" x14ac:dyDescent="0.2">
      <c r="B61" s="110" t="str">
        <f>B151</f>
        <v/>
      </c>
      <c r="C61" s="147" t="str">
        <f t="shared" ref="C61:G63" si="2">C151</f>
        <v>2018/19</v>
      </c>
      <c r="D61" s="147" t="str">
        <f t="shared" si="2"/>
        <v>2019/20</v>
      </c>
      <c r="E61" s="147" t="str">
        <f t="shared" si="2"/>
        <v>2020/21</v>
      </c>
      <c r="F61" s="147" t="str">
        <f t="shared" si="2"/>
        <v>2021/22</v>
      </c>
      <c r="G61" s="147" t="str">
        <f t="shared" si="2"/>
        <v>2022/23</v>
      </c>
      <c r="I61" s="383" t="str">
        <f>I151</f>
        <v>Rhaniad Blynyddol Cyfartalog ar draws 5 mlynedd</v>
      </c>
      <c r="J61" s="383"/>
      <c r="K61" s="107"/>
    </row>
    <row r="62" spans="2:11" ht="15" customHeight="1" x14ac:dyDescent="0.2">
      <c r="B62" s="110" t="str">
        <f>B152</f>
        <v>Tai'r Farchnad</v>
      </c>
      <c r="C62" s="148">
        <f>C152</f>
        <v>0.51715780073989037</v>
      </c>
      <c r="D62" s="148">
        <f t="shared" si="2"/>
        <v>0.51526617954070986</v>
      </c>
      <c r="E62" s="148">
        <f t="shared" si="2"/>
        <v>0.51657245632065774</v>
      </c>
      <c r="F62" s="148">
        <f t="shared" si="2"/>
        <v>0.52103599221789887</v>
      </c>
      <c r="G62" s="148">
        <f t="shared" si="2"/>
        <v>0.51811533288500344</v>
      </c>
      <c r="I62" s="353">
        <f>I152</f>
        <v>0.51767589266849778</v>
      </c>
      <c r="J62" s="353"/>
      <c r="K62" s="107"/>
    </row>
    <row r="63" spans="2:11" ht="15" customHeight="1" x14ac:dyDescent="0.2">
      <c r="B63" s="110" t="str">
        <f t="shared" ref="B63" si="3">B153</f>
        <v>Tai Fforddiadwy</v>
      </c>
      <c r="C63" s="148">
        <f>C153</f>
        <v>0.48284219926010963</v>
      </c>
      <c r="D63" s="148">
        <f t="shared" si="2"/>
        <v>0.48473382045929014</v>
      </c>
      <c r="E63" s="148">
        <f t="shared" si="2"/>
        <v>0.48342754367934221</v>
      </c>
      <c r="F63" s="148">
        <f t="shared" si="2"/>
        <v>0.47896400778210113</v>
      </c>
      <c r="G63" s="148">
        <f t="shared" si="2"/>
        <v>0.48188466711499656</v>
      </c>
      <c r="I63" s="353">
        <f>I153</f>
        <v>0.48232410733150216</v>
      </c>
      <c r="J63" s="353"/>
      <c r="K63" s="107"/>
    </row>
    <row r="64" spans="2:11" ht="15" customHeight="1" x14ac:dyDescent="0.2">
      <c r="B64" s="108"/>
      <c r="C64" s="141"/>
      <c r="D64" s="141"/>
      <c r="E64" s="141"/>
      <c r="F64" s="141"/>
      <c r="G64" s="141"/>
      <c r="H64" s="141"/>
      <c r="I64" s="141"/>
      <c r="J64" s="141"/>
      <c r="K64" s="107"/>
    </row>
    <row r="65" spans="2:11" ht="15" customHeight="1" x14ac:dyDescent="0.2">
      <c r="B65" s="79" t="str">
        <f>IF(C145=1,"","Sylwadau ar y rhagdybiaethau a ddewiswyd ar gyfer rhaniad o bediar deiliadaeth")</f>
        <v/>
      </c>
      <c r="C65" s="141"/>
      <c r="D65" s="141"/>
      <c r="E65" s="141"/>
      <c r="F65" s="141"/>
      <c r="G65" s="141"/>
      <c r="H65" s="141"/>
      <c r="I65" s="141"/>
      <c r="J65" s="141"/>
      <c r="K65" s="107"/>
    </row>
    <row r="66" spans="2:11" ht="15" customHeight="1" x14ac:dyDescent="0.2">
      <c r="B66" s="360" t="str">
        <f>B192</f>
        <v>Ni fydd amcangyfrifon rhaniad 4 deiliadaeth yn ymddangos hyd nes bod y tabl uchod wedi'i gwblhau.</v>
      </c>
      <c r="C66" s="360"/>
      <c r="D66" s="360"/>
      <c r="E66" s="360"/>
      <c r="F66" s="360"/>
      <c r="G66" s="360"/>
      <c r="H66" s="360"/>
      <c r="I66" s="360"/>
      <c r="J66" s="360"/>
      <c r="K66" s="107"/>
    </row>
    <row r="67" spans="2:11" ht="15" customHeight="1" x14ac:dyDescent="0.2">
      <c r="B67" s="360"/>
      <c r="C67" s="360"/>
      <c r="D67" s="360"/>
      <c r="E67" s="360"/>
      <c r="F67" s="360"/>
      <c r="G67" s="360"/>
      <c r="H67" s="360"/>
      <c r="I67" s="360"/>
      <c r="J67" s="360"/>
      <c r="K67" s="107"/>
    </row>
    <row r="68" spans="2:11" ht="15" customHeight="1" x14ac:dyDescent="0.2">
      <c r="B68" s="360"/>
      <c r="C68" s="360"/>
      <c r="D68" s="360"/>
      <c r="E68" s="360"/>
      <c r="F68" s="360"/>
      <c r="G68" s="360"/>
      <c r="H68" s="360"/>
      <c r="I68" s="360"/>
      <c r="J68" s="360"/>
      <c r="K68" s="107"/>
    </row>
    <row r="69" spans="2:11" ht="15" customHeight="1" x14ac:dyDescent="0.2">
      <c r="B69" s="360"/>
      <c r="C69" s="360"/>
      <c r="D69" s="360"/>
      <c r="E69" s="360"/>
      <c r="F69" s="360"/>
      <c r="G69" s="360"/>
      <c r="H69" s="360"/>
      <c r="I69" s="360"/>
      <c r="J69" s="360"/>
      <c r="K69" s="107"/>
    </row>
    <row r="70" spans="2:11" ht="15" customHeight="1" x14ac:dyDescent="0.2">
      <c r="C70" s="76"/>
      <c r="D70" s="80"/>
      <c r="F70" s="81"/>
      <c r="G70" s="82"/>
    </row>
    <row r="71" spans="2:11" ht="15" customHeight="1" x14ac:dyDescent="0.2">
      <c r="C71" s="76"/>
      <c r="D71" s="80"/>
      <c r="E71" s="82"/>
      <c r="F71" s="81"/>
      <c r="G71" s="82"/>
    </row>
    <row r="72" spans="2:11" ht="15" customHeight="1" x14ac:dyDescent="0.2">
      <c r="C72" s="76"/>
      <c r="D72" s="80"/>
      <c r="E72" s="82"/>
      <c r="F72" s="81"/>
      <c r="G72" s="82"/>
    </row>
    <row r="73" spans="2:11" ht="15" customHeight="1" x14ac:dyDescent="0.2">
      <c r="C73" s="76"/>
      <c r="D73" s="80"/>
      <c r="E73" s="82"/>
      <c r="F73" s="81"/>
      <c r="G73" s="82"/>
    </row>
    <row r="74" spans="2:11" ht="15" customHeight="1" x14ac:dyDescent="0.2">
      <c r="C74" s="76"/>
      <c r="D74" s="80"/>
      <c r="E74" s="82"/>
      <c r="F74" s="81"/>
      <c r="G74" s="82"/>
    </row>
    <row r="75" spans="2:11" ht="15" customHeight="1" x14ac:dyDescent="0.2">
      <c r="C75" s="76"/>
      <c r="D75" s="80"/>
      <c r="E75" s="82"/>
      <c r="F75" s="81"/>
      <c r="G75" s="82"/>
    </row>
    <row r="76" spans="2:11" ht="15" customHeight="1" x14ac:dyDescent="0.2">
      <c r="C76" s="76"/>
      <c r="D76" s="80"/>
      <c r="E76" s="82"/>
      <c r="F76" s="81"/>
      <c r="G76" s="82"/>
    </row>
    <row r="77" spans="2:11" ht="15" customHeight="1" x14ac:dyDescent="0.2">
      <c r="C77" s="76"/>
      <c r="D77" s="80"/>
      <c r="E77" s="82"/>
      <c r="F77" s="81"/>
      <c r="G77" s="82"/>
    </row>
    <row r="78" spans="2:11" ht="15" customHeight="1" x14ac:dyDescent="0.2">
      <c r="C78" s="76"/>
      <c r="D78" s="80"/>
      <c r="E78" s="82"/>
      <c r="F78" s="81"/>
      <c r="G78" s="82"/>
    </row>
    <row r="79" spans="2:11" ht="15" customHeight="1" x14ac:dyDescent="0.2">
      <c r="C79" s="76"/>
      <c r="D79" s="80"/>
      <c r="E79" s="82"/>
      <c r="F79" s="81"/>
      <c r="G79" s="82"/>
    </row>
    <row r="80" spans="2:11" ht="15" customHeight="1" x14ac:dyDescent="0.2">
      <c r="C80" s="76"/>
      <c r="D80" s="80"/>
      <c r="E80" s="82"/>
      <c r="F80" s="81"/>
      <c r="G80" s="82"/>
    </row>
    <row r="81" spans="2:7" ht="15" customHeight="1" x14ac:dyDescent="0.2">
      <c r="C81" s="76"/>
      <c r="D81" s="80"/>
      <c r="E81" s="82"/>
      <c r="F81" s="81"/>
      <c r="G81" s="82"/>
    </row>
    <row r="82" spans="2:7" ht="15" customHeight="1" x14ac:dyDescent="0.2">
      <c r="C82" s="76"/>
      <c r="D82" s="80"/>
      <c r="E82" s="82"/>
      <c r="F82" s="81"/>
      <c r="G82" s="82"/>
    </row>
    <row r="83" spans="2:7" ht="15" customHeight="1" x14ac:dyDescent="0.2">
      <c r="C83" s="76"/>
      <c r="D83" s="80"/>
      <c r="E83" s="82"/>
      <c r="F83" s="81"/>
      <c r="G83" s="82"/>
    </row>
    <row r="84" spans="2:7" ht="15" customHeight="1" x14ac:dyDescent="0.2">
      <c r="C84" s="76"/>
      <c r="D84" s="80"/>
      <c r="E84" s="82"/>
      <c r="F84" s="81"/>
      <c r="G84" s="82"/>
    </row>
    <row r="85" spans="2:7" ht="15" customHeight="1" x14ac:dyDescent="0.2">
      <c r="C85" s="76"/>
      <c r="D85" s="80"/>
      <c r="E85" s="82"/>
      <c r="F85" s="81"/>
      <c r="G85" s="82"/>
    </row>
    <row r="86" spans="2:7" ht="15" customHeight="1" x14ac:dyDescent="0.2">
      <c r="C86" s="76"/>
      <c r="D86" s="80"/>
      <c r="E86" s="82"/>
      <c r="F86" s="81"/>
      <c r="G86" s="82"/>
    </row>
    <row r="87" spans="2:7" ht="15" customHeight="1" x14ac:dyDescent="0.2">
      <c r="C87" s="76"/>
      <c r="D87" s="80"/>
      <c r="E87" s="82"/>
      <c r="F87" s="81"/>
      <c r="G87" s="82"/>
    </row>
    <row r="88" spans="2:7" ht="15" customHeight="1" x14ac:dyDescent="0.2">
      <c r="C88" s="76"/>
      <c r="D88" s="80"/>
      <c r="E88" s="82"/>
      <c r="F88" s="81"/>
      <c r="G88" s="82"/>
    </row>
    <row r="89" spans="2:7" ht="15" customHeight="1" x14ac:dyDescent="0.2">
      <c r="C89" s="76"/>
      <c r="D89" s="80"/>
      <c r="E89" s="82"/>
      <c r="F89" s="81"/>
      <c r="G89" s="82"/>
    </row>
    <row r="90" spans="2:7" ht="15" customHeight="1" x14ac:dyDescent="0.2">
      <c r="B90" s="83" t="s">
        <v>344</v>
      </c>
      <c r="C90" s="84"/>
      <c r="D90" s="84"/>
      <c r="E90" s="84"/>
      <c r="F90" s="84"/>
      <c r="G90" s="84"/>
    </row>
    <row r="91" spans="2:7" ht="15" customHeight="1" x14ac:dyDescent="0.2">
      <c r="B91" s="150" t="str">
        <f>B157</f>
        <v>Cwblhewch y tabl i weld amcangyfrifon wedi'u rhannu'n 4 deiliadaeth.</v>
      </c>
      <c r="C91" s="110"/>
      <c r="D91" s="110"/>
      <c r="E91" s="110"/>
      <c r="F91" s="110"/>
      <c r="G91" s="110"/>
    </row>
    <row r="92" spans="2:7" ht="15" customHeight="1" x14ac:dyDescent="0.2">
      <c r="B92" s="150"/>
      <c r="C92" s="145" t="str">
        <f t="shared" ref="C92:G96" si="4">C157</f>
        <v/>
      </c>
      <c r="D92" s="145" t="str">
        <f t="shared" si="4"/>
        <v/>
      </c>
      <c r="E92" s="145" t="str">
        <f t="shared" si="4"/>
        <v/>
      </c>
      <c r="F92" s="145" t="str">
        <f t="shared" si="4"/>
        <v/>
      </c>
      <c r="G92" s="145" t="str">
        <f t="shared" si="4"/>
        <v/>
      </c>
    </row>
    <row r="93" spans="2:7" ht="15" customHeight="1" x14ac:dyDescent="0.2">
      <c r="B93" s="144" t="str">
        <f>B158</f>
        <v/>
      </c>
      <c r="C93" s="151" t="str">
        <f t="shared" si="4"/>
        <v/>
      </c>
      <c r="D93" s="146" t="str">
        <f t="shared" si="4"/>
        <v/>
      </c>
      <c r="E93" s="146" t="str">
        <f t="shared" si="4"/>
        <v/>
      </c>
      <c r="F93" s="146" t="str">
        <f t="shared" si="4"/>
        <v/>
      </c>
      <c r="G93" s="146" t="str">
        <f t="shared" si="4"/>
        <v/>
      </c>
    </row>
    <row r="94" spans="2:7" ht="15" customHeight="1" x14ac:dyDescent="0.2">
      <c r="B94" s="144" t="str">
        <f>B159</f>
        <v/>
      </c>
      <c r="C94" s="146" t="str">
        <f t="shared" si="4"/>
        <v/>
      </c>
      <c r="D94" s="146" t="str">
        <f t="shared" si="4"/>
        <v/>
      </c>
      <c r="E94" s="146" t="str">
        <f t="shared" si="4"/>
        <v/>
      </c>
      <c r="F94" s="146" t="str">
        <f t="shared" si="4"/>
        <v/>
      </c>
      <c r="G94" s="146" t="str">
        <f t="shared" si="4"/>
        <v/>
      </c>
    </row>
    <row r="95" spans="2:7" ht="15" customHeight="1" x14ac:dyDescent="0.2">
      <c r="B95" s="146" t="str">
        <f>B160</f>
        <v/>
      </c>
      <c r="C95" s="146" t="str">
        <f t="shared" si="4"/>
        <v/>
      </c>
      <c r="D95" s="146" t="str">
        <f t="shared" si="4"/>
        <v/>
      </c>
      <c r="E95" s="146" t="str">
        <f t="shared" si="4"/>
        <v/>
      </c>
      <c r="F95" s="146" t="str">
        <f t="shared" si="4"/>
        <v/>
      </c>
      <c r="G95" s="146" t="str">
        <f t="shared" si="4"/>
        <v/>
      </c>
    </row>
    <row r="96" spans="2:7" ht="15" customHeight="1" x14ac:dyDescent="0.2">
      <c r="B96" s="146" t="str">
        <f>B161</f>
        <v/>
      </c>
      <c r="C96" s="146" t="str">
        <f t="shared" si="4"/>
        <v/>
      </c>
      <c r="D96" s="146" t="str">
        <f t="shared" si="4"/>
        <v/>
      </c>
      <c r="E96" s="146" t="str">
        <f t="shared" si="4"/>
        <v/>
      </c>
      <c r="F96" s="146" t="str">
        <f t="shared" si="4"/>
        <v/>
      </c>
      <c r="G96" s="146" t="str">
        <f t="shared" si="4"/>
        <v/>
      </c>
    </row>
    <row r="97" spans="2:20" ht="15" customHeight="1" x14ac:dyDescent="0.2"/>
    <row r="98" spans="2:20" ht="15" customHeight="1" x14ac:dyDescent="0.2">
      <c r="B98" s="72" t="s">
        <v>345</v>
      </c>
    </row>
    <row r="99" spans="2:20" ht="15" customHeight="1" x14ac:dyDescent="0.2">
      <c r="B99" s="110" t="str">
        <f>B162</f>
        <v>Cwblhewch y tabl i weld amcangyfrifon wedi'u rhannu'n 4 deiliadaeth.</v>
      </c>
      <c r="C99" s="110"/>
      <c r="D99" s="110"/>
      <c r="E99" s="110"/>
      <c r="F99" s="110"/>
      <c r="G99" s="110"/>
      <c r="I99" s="383" t="str">
        <f>I162</f>
        <v/>
      </c>
      <c r="J99" s="383"/>
    </row>
    <row r="100" spans="2:20" ht="15" customHeight="1" x14ac:dyDescent="0.2">
      <c r="B100" s="110"/>
      <c r="C100" s="147" t="str">
        <f t="shared" ref="C100:G104" si="5">C162</f>
        <v/>
      </c>
      <c r="D100" s="147" t="str">
        <f t="shared" si="5"/>
        <v/>
      </c>
      <c r="E100" s="147" t="str">
        <f t="shared" si="5"/>
        <v/>
      </c>
      <c r="F100" s="147" t="str">
        <f t="shared" si="5"/>
        <v/>
      </c>
      <c r="G100" s="147" t="str">
        <f t="shared" si="5"/>
        <v/>
      </c>
      <c r="I100" s="149"/>
      <c r="J100" s="149"/>
    </row>
    <row r="101" spans="2:20" ht="15" customHeight="1" x14ac:dyDescent="0.2">
      <c r="B101" s="110" t="str">
        <f>B163</f>
        <v/>
      </c>
      <c r="C101" s="148" t="str">
        <f t="shared" si="5"/>
        <v/>
      </c>
      <c r="D101" s="148" t="str">
        <f t="shared" si="5"/>
        <v/>
      </c>
      <c r="E101" s="148" t="str">
        <f t="shared" si="5"/>
        <v/>
      </c>
      <c r="F101" s="148" t="str">
        <f t="shared" si="5"/>
        <v/>
      </c>
      <c r="G101" s="148" t="str">
        <f t="shared" si="5"/>
        <v/>
      </c>
      <c r="I101" s="353" t="str">
        <f>I163</f>
        <v/>
      </c>
      <c r="J101" s="353"/>
    </row>
    <row r="102" spans="2:20" ht="15" customHeight="1" x14ac:dyDescent="0.2">
      <c r="B102" s="110" t="str">
        <f>B164</f>
        <v/>
      </c>
      <c r="C102" s="148" t="str">
        <f t="shared" si="5"/>
        <v/>
      </c>
      <c r="D102" s="148" t="str">
        <f t="shared" si="5"/>
        <v/>
      </c>
      <c r="E102" s="148" t="str">
        <f t="shared" si="5"/>
        <v/>
      </c>
      <c r="F102" s="148" t="str">
        <f t="shared" si="5"/>
        <v/>
      </c>
      <c r="G102" s="148" t="str">
        <f t="shared" si="5"/>
        <v/>
      </c>
      <c r="I102" s="353" t="str">
        <f>I164</f>
        <v/>
      </c>
      <c r="J102" s="353"/>
    </row>
    <row r="103" spans="2:20" ht="14.25" customHeight="1" x14ac:dyDescent="0.2">
      <c r="B103" s="110" t="str">
        <f>B165</f>
        <v/>
      </c>
      <c r="C103" s="148" t="str">
        <f t="shared" si="5"/>
        <v/>
      </c>
      <c r="D103" s="148" t="str">
        <f t="shared" si="5"/>
        <v/>
      </c>
      <c r="E103" s="148" t="str">
        <f t="shared" si="5"/>
        <v/>
      </c>
      <c r="F103" s="148" t="str">
        <f t="shared" si="5"/>
        <v/>
      </c>
      <c r="G103" s="148" t="str">
        <f t="shared" si="5"/>
        <v/>
      </c>
      <c r="I103" s="353" t="str">
        <f>I165</f>
        <v/>
      </c>
      <c r="J103" s="353"/>
    </row>
    <row r="104" spans="2:20" ht="14.25" customHeight="1" x14ac:dyDescent="0.2">
      <c r="B104" s="110" t="str">
        <f>B166</f>
        <v/>
      </c>
      <c r="C104" s="148" t="str">
        <f t="shared" si="5"/>
        <v/>
      </c>
      <c r="D104" s="148" t="str">
        <f t="shared" si="5"/>
        <v/>
      </c>
      <c r="E104" s="148" t="str">
        <f t="shared" si="5"/>
        <v/>
      </c>
      <c r="F104" s="148" t="str">
        <f t="shared" si="5"/>
        <v/>
      </c>
      <c r="G104" s="148" t="str">
        <f t="shared" si="5"/>
        <v/>
      </c>
      <c r="I104" s="353" t="str">
        <f>I166</f>
        <v/>
      </c>
      <c r="J104" s="353"/>
    </row>
    <row r="105" spans="2:20" ht="14.25" customHeight="1" x14ac:dyDescent="0.2">
      <c r="C105" s="72"/>
      <c r="M105" s="85"/>
      <c r="N105" s="86"/>
      <c r="O105" s="86"/>
      <c r="P105" s="86"/>
      <c r="Q105" s="86"/>
      <c r="R105" s="86"/>
      <c r="S105" s="85"/>
      <c r="T105" s="87"/>
    </row>
    <row r="106" spans="2:20" ht="14.25" customHeight="1" x14ac:dyDescent="0.25">
      <c r="B106" s="70" t="s">
        <v>239</v>
      </c>
      <c r="M106" s="85"/>
      <c r="N106" s="86"/>
      <c r="O106" s="86"/>
      <c r="P106" s="86"/>
      <c r="Q106" s="86"/>
      <c r="R106" s="86"/>
      <c r="S106" s="85"/>
      <c r="T106" s="87"/>
    </row>
    <row r="107" spans="2:20" ht="14.25" customHeight="1" x14ac:dyDescent="0.2">
      <c r="B107" s="156"/>
      <c r="C107" s="157" t="s">
        <v>0</v>
      </c>
      <c r="D107" s="157" t="s">
        <v>1</v>
      </c>
      <c r="E107" s="157" t="s">
        <v>2</v>
      </c>
      <c r="F107" s="157" t="s">
        <v>3</v>
      </c>
      <c r="G107" s="158" t="s">
        <v>4</v>
      </c>
      <c r="M107" s="85"/>
      <c r="N107" s="86"/>
      <c r="O107" s="86"/>
      <c r="P107" s="86"/>
      <c r="Q107" s="86"/>
      <c r="R107" s="86"/>
      <c r="S107" s="85"/>
      <c r="T107" s="87"/>
    </row>
    <row r="108" spans="2:20" ht="38.25" x14ac:dyDescent="0.2">
      <c r="B108" s="159" t="s">
        <v>81</v>
      </c>
      <c r="C108" s="161">
        <f>'Rhaniad y Ddeiliadaeth (Cymru)'!C108</f>
        <v>0.3</v>
      </c>
      <c r="D108" s="161">
        <f>'Rhaniad y Ddeiliadaeth (Cymru)'!D108</f>
        <v>0.3</v>
      </c>
      <c r="E108" s="161">
        <f>'Rhaniad y Ddeiliadaeth (Cymru)'!E108</f>
        <v>0.3</v>
      </c>
      <c r="F108" s="161">
        <f>'Rhaniad y Ddeiliadaeth (Cymru)'!F108</f>
        <v>0.3</v>
      </c>
      <c r="G108" s="162">
        <f>'Rhaniad y Ddeiliadaeth (Cymru)'!G108</f>
        <v>0.3</v>
      </c>
      <c r="O108" s="86"/>
      <c r="P108" s="86"/>
      <c r="Q108" s="86"/>
      <c r="R108" s="86"/>
      <c r="S108" s="85"/>
      <c r="T108" s="87"/>
    </row>
    <row r="109" spans="2:20" ht="25.5" x14ac:dyDescent="0.2">
      <c r="B109" s="159" t="s">
        <v>219</v>
      </c>
      <c r="C109" s="161">
        <f>'Rhaniad y Ddeiliadaeth (Cymru)'!C109</f>
        <v>3.5377362656780903E-2</v>
      </c>
      <c r="D109" s="161">
        <f>'Rhaniad y Ddeiliadaeth (Cymru)'!D109</f>
        <v>2.571119448209791E-2</v>
      </c>
      <c r="E109" s="161">
        <f>'Rhaniad y Ddeiliadaeth (Cymru)'!E109</f>
        <v>3.2803011550502595E-2</v>
      </c>
      <c r="F109" s="161">
        <f>'Rhaniad y Ddeiliadaeth (Cymru)'!F109</f>
        <v>3.70858525612624E-2</v>
      </c>
      <c r="G109" s="162">
        <f>'Rhaniad y Ddeiliadaeth (Cymru)'!G109</f>
        <v>3.8062223065459387E-2</v>
      </c>
      <c r="O109" s="86"/>
      <c r="P109" s="86"/>
      <c r="Q109" s="86"/>
      <c r="R109" s="86"/>
      <c r="S109" s="85"/>
      <c r="T109" s="87"/>
    </row>
    <row r="110" spans="2:20" ht="25.5" x14ac:dyDescent="0.2">
      <c r="B110" s="159" t="s">
        <v>220</v>
      </c>
      <c r="C110" s="161">
        <f>'Rhaniad y Ddeiliadaeth (Cymru)'!C110</f>
        <v>0.01</v>
      </c>
      <c r="D110" s="161">
        <f>'Rhaniad y Ddeiliadaeth (Cymru)'!D110</f>
        <v>0.01</v>
      </c>
      <c r="E110" s="161">
        <f>'Rhaniad y Ddeiliadaeth (Cymru)'!E110</f>
        <v>0.01</v>
      </c>
      <c r="F110" s="161">
        <f>'Rhaniad y Ddeiliadaeth (Cymru)'!F110</f>
        <v>0.01</v>
      </c>
      <c r="G110" s="162">
        <f>'Rhaniad y Ddeiliadaeth (Cymru)'!G110</f>
        <v>0.01</v>
      </c>
      <c r="O110" s="86"/>
      <c r="P110" s="86"/>
      <c r="Q110" s="86"/>
      <c r="R110" s="86"/>
      <c r="S110" s="85"/>
      <c r="T110" s="87"/>
    </row>
    <row r="111" spans="2:20" ht="25.5" x14ac:dyDescent="0.2">
      <c r="B111" s="159" t="s">
        <v>221</v>
      </c>
      <c r="C111" s="161">
        <f>'Rhaniad y Ddeiliadaeth (Cymru)'!C111</f>
        <v>2.9066130553574002E-2</v>
      </c>
      <c r="D111" s="161">
        <f>'Rhaniad y Ddeiliadaeth (Cymru)'!D111</f>
        <v>2.9536238937667179E-2</v>
      </c>
      <c r="E111" s="161">
        <f>'Rhaniad y Ddeiliadaeth (Cymru)'!E111</f>
        <v>3.0600923725820621E-2</v>
      </c>
      <c r="F111" s="161">
        <f>'Rhaniad y Ddeiliadaeth (Cymru)'!F111</f>
        <v>3.1212408697362831E-2</v>
      </c>
      <c r="G111" s="162">
        <f>'Rhaniad y Ddeiliadaeth (Cymru)'!G111</f>
        <v>3.1716449662899181E-2</v>
      </c>
      <c r="O111" s="86"/>
      <c r="P111" s="86"/>
      <c r="Q111" s="86"/>
      <c r="R111" s="86"/>
      <c r="S111" s="85"/>
      <c r="T111" s="87"/>
    </row>
    <row r="112" spans="2:20" ht="25.5" x14ac:dyDescent="0.2">
      <c r="B112" s="159" t="s">
        <v>222</v>
      </c>
      <c r="C112" s="163">
        <f>INDEX('Prisiau Rhenti'!$D$24:$D$25,MATCH('Rhaniad y Ddeiliadaeth (De-ddn)'!$D$9,'Prisiau Rhenti'!$B$24:$B$25,0))*(1+C111)</f>
        <v>6791.8364616535882</v>
      </c>
      <c r="D112" s="163">
        <f>C112*(1+D111)</f>
        <v>6992.4417662105488</v>
      </c>
      <c r="E112" s="163">
        <f t="shared" ref="E112:G112" si="6">D112*(1+E111)</f>
        <v>7206.4169433556008</v>
      </c>
      <c r="F112" s="163">
        <f t="shared" si="6"/>
        <v>7431.3465742352164</v>
      </c>
      <c r="G112" s="164">
        <f t="shared" si="6"/>
        <v>7667.0425037845062</v>
      </c>
      <c r="O112" s="86"/>
      <c r="P112" s="86"/>
      <c r="Q112" s="86"/>
      <c r="R112" s="86"/>
      <c r="S112" s="85"/>
      <c r="T112" s="87"/>
    </row>
    <row r="113" spans="2:20" ht="25.5" x14ac:dyDescent="0.2">
      <c r="B113" s="159" t="s">
        <v>248</v>
      </c>
      <c r="C113" s="163">
        <f>INDEX('Prisiau Rhenti'!$C$24:$C$25,MATCH('Rhaniad y Ddeiliadaeth (De-ddn)'!$D$9,'Prisiau Rhenti'!$B$24:$B$25,0))*(1+C111)</f>
        <v>5865.9239200267048</v>
      </c>
      <c r="D113" s="163">
        <f>C113*(1+D111)</f>
        <v>6039.1812505187909</v>
      </c>
      <c r="E113" s="163">
        <f t="shared" ref="E113:G113" si="7">D113*(1+E111)</f>
        <v>6223.9857753323231</v>
      </c>
      <c r="F113" s="163">
        <f t="shared" si="7"/>
        <v>6418.2513630785688</v>
      </c>
      <c r="G113" s="164">
        <f t="shared" si="7"/>
        <v>6621.8155093594842</v>
      </c>
      <c r="O113" s="86"/>
      <c r="P113" s="86"/>
      <c r="Q113" s="86"/>
      <c r="R113" s="86"/>
      <c r="S113" s="85"/>
      <c r="T113" s="87"/>
    </row>
    <row r="114" spans="2:20" ht="38.25" x14ac:dyDescent="0.2">
      <c r="B114" s="155" t="s">
        <v>88</v>
      </c>
      <c r="C114" s="165">
        <f>'Rhaniad y Ddeiliadaeth (Cymru)'!C114</f>
        <v>3.8</v>
      </c>
      <c r="D114" s="165">
        <f>'Rhaniad y Ddeiliadaeth (Cymru)'!D114</f>
        <v>3.8</v>
      </c>
      <c r="E114" s="165">
        <f>'Rhaniad y Ddeiliadaeth (Cymru)'!E114</f>
        <v>3.8</v>
      </c>
      <c r="F114" s="165">
        <f>'Rhaniad y Ddeiliadaeth (Cymru)'!F114</f>
        <v>3.8</v>
      </c>
      <c r="G114" s="166">
        <f>'Rhaniad y Ddeiliadaeth (Cymru)'!G114</f>
        <v>3.8</v>
      </c>
      <c r="O114" s="86"/>
      <c r="P114" s="86"/>
      <c r="Q114" s="86"/>
      <c r="R114" s="86"/>
      <c r="S114" s="85"/>
      <c r="T114" s="87"/>
    </row>
    <row r="115" spans="2:20" ht="38.25" x14ac:dyDescent="0.2">
      <c r="B115" s="155" t="s">
        <v>89</v>
      </c>
      <c r="C115" s="165">
        <f>'Rhaniad y Ddeiliadaeth (Cymru)'!C115</f>
        <v>25</v>
      </c>
      <c r="D115" s="165">
        <f>'Rhaniad y Ddeiliadaeth (Cymru)'!D115</f>
        <v>25</v>
      </c>
      <c r="E115" s="165">
        <f>'Rhaniad y Ddeiliadaeth (Cymru)'!E115</f>
        <v>25</v>
      </c>
      <c r="F115" s="165">
        <f>'Rhaniad y Ddeiliadaeth (Cymru)'!F115</f>
        <v>25</v>
      </c>
      <c r="G115" s="166">
        <f>'Rhaniad y Ddeiliadaeth (Cymru)'!G115</f>
        <v>25</v>
      </c>
      <c r="O115" s="86"/>
      <c r="P115" s="86"/>
      <c r="Q115" s="86"/>
      <c r="R115" s="86"/>
      <c r="S115" s="85"/>
      <c r="T115" s="87"/>
    </row>
    <row r="116" spans="2:20" ht="51" x14ac:dyDescent="0.2">
      <c r="B116" s="155" t="s">
        <v>223</v>
      </c>
      <c r="C116" s="167" t="str">
        <f>'Rhaniad y Ddeiliadaeth (Cymru)'!C116</f>
        <v>-</v>
      </c>
      <c r="D116" s="167" t="str">
        <f>'Rhaniad y Ddeiliadaeth (Cymru)'!D116</f>
        <v>-</v>
      </c>
      <c r="E116" s="167" t="str">
        <f>'Rhaniad y Ddeiliadaeth (Cymru)'!E116</f>
        <v>-</v>
      </c>
      <c r="F116" s="167" t="str">
        <f>'Rhaniad y Ddeiliadaeth (Cymru)'!F116</f>
        <v>-</v>
      </c>
      <c r="G116" s="168" t="str">
        <f>'Rhaniad y Ddeiliadaeth (Cymru)'!G116</f>
        <v>-</v>
      </c>
      <c r="O116" s="86"/>
      <c r="P116" s="86"/>
      <c r="Q116" s="86"/>
      <c r="R116" s="86"/>
      <c r="S116" s="85"/>
      <c r="T116" s="87"/>
    </row>
    <row r="117" spans="2:20" ht="38.25" x14ac:dyDescent="0.2">
      <c r="B117" s="155" t="s">
        <v>90</v>
      </c>
      <c r="C117" s="167">
        <f>'Rhaniad y Ddeiliadaeth (Cymru)'!C117</f>
        <v>0.35</v>
      </c>
      <c r="D117" s="167">
        <f>'Rhaniad y Ddeiliadaeth (Cymru)'!D117</f>
        <v>0.35</v>
      </c>
      <c r="E117" s="167">
        <f>'Rhaniad y Ddeiliadaeth (Cymru)'!E117</f>
        <v>0.35</v>
      </c>
      <c r="F117" s="167">
        <f>'Rhaniad y Ddeiliadaeth (Cymru)'!F117</f>
        <v>0.35</v>
      </c>
      <c r="G117" s="168">
        <f>'Rhaniad y Ddeiliadaeth (Cymru)'!G117</f>
        <v>0.35</v>
      </c>
      <c r="O117" s="86"/>
      <c r="P117" s="86"/>
      <c r="Q117" s="86"/>
      <c r="R117" s="86"/>
      <c r="S117" s="85"/>
      <c r="T117" s="87"/>
    </row>
    <row r="118" spans="2:20" ht="25.5" x14ac:dyDescent="0.2">
      <c r="B118" s="160" t="s">
        <v>132</v>
      </c>
      <c r="C118" s="169">
        <f>'Rhaniad y Ddeiliadaeth (Cymru)'!C118</f>
        <v>2.8405585293094449E-2</v>
      </c>
      <c r="D118" s="169">
        <f>'Rhaniad y Ddeiliadaeth (Cymru)'!D118</f>
        <v>2.2265547421218557E-3</v>
      </c>
      <c r="E118" s="169">
        <f>'Rhaniad y Ddeiliadaeth (Cymru)'!E118</f>
        <v>2.1524380028468126E-2</v>
      </c>
      <c r="F118" s="169">
        <f>'Rhaniad y Ddeiliadaeth (Cymru)'!F118</f>
        <v>3.8999168521062666E-2</v>
      </c>
      <c r="G118" s="170">
        <f>'Rhaniad y Ddeiliadaeth (Cymru)'!G118</f>
        <v>4.147992390238664E-2</v>
      </c>
      <c r="O118" s="86"/>
      <c r="P118" s="86"/>
      <c r="Q118" s="86"/>
      <c r="R118" s="86"/>
      <c r="S118" s="85"/>
      <c r="T118" s="87"/>
    </row>
    <row r="119" spans="2:20" ht="14.25" customHeight="1" x14ac:dyDescent="0.2">
      <c r="C119" s="72"/>
      <c r="M119" s="85"/>
      <c r="N119" s="86"/>
      <c r="O119" s="86"/>
      <c r="P119" s="86"/>
      <c r="Q119" s="86"/>
      <c r="R119" s="86"/>
      <c r="S119" s="85"/>
      <c r="T119" s="87"/>
    </row>
    <row r="120" spans="2:20" ht="14.25" hidden="1" customHeight="1" x14ac:dyDescent="0.2">
      <c r="B120" s="113" t="s">
        <v>224</v>
      </c>
      <c r="C120" s="114"/>
      <c r="L120" s="85"/>
      <c r="M120" s="86"/>
      <c r="N120" s="86"/>
      <c r="O120" s="86"/>
      <c r="P120" s="86"/>
      <c r="R120" s="86"/>
      <c r="S120" s="85"/>
      <c r="T120" s="87"/>
    </row>
    <row r="121" spans="2:20" ht="14.25" hidden="1" customHeight="1" x14ac:dyDescent="0.2">
      <c r="B121" s="113" t="s">
        <v>225</v>
      </c>
      <c r="C121" s="115" t="s">
        <v>235</v>
      </c>
      <c r="G121" s="85"/>
      <c r="L121" s="85"/>
      <c r="M121" s="85"/>
      <c r="N121" s="85"/>
      <c r="O121" s="85"/>
      <c r="P121" s="85"/>
      <c r="R121" s="85"/>
      <c r="S121" s="85"/>
      <c r="T121" s="85"/>
    </row>
    <row r="122" spans="2:20" ht="14.25" hidden="1" customHeight="1" x14ac:dyDescent="0.2">
      <c r="B122" s="114" t="s">
        <v>30</v>
      </c>
      <c r="C122" s="114">
        <f>IF(E6="Y",0,1)</f>
        <v>0</v>
      </c>
      <c r="G122" s="85"/>
    </row>
    <row r="123" spans="2:20" ht="14.25" hidden="1" customHeight="1" x14ac:dyDescent="0.2">
      <c r="B123" s="114" t="s">
        <v>151</v>
      </c>
      <c r="C123" s="114">
        <f>IF(E7="Y",0,1)</f>
        <v>0</v>
      </c>
      <c r="G123" s="85"/>
    </row>
    <row r="124" spans="2:20" ht="14.25" hidden="1" customHeight="1" x14ac:dyDescent="0.2">
      <c r="B124" s="114" t="s">
        <v>207</v>
      </c>
      <c r="C124" s="114">
        <f>IF(E8="Y",0,1)</f>
        <v>0</v>
      </c>
      <c r="G124" s="85"/>
    </row>
    <row r="125" spans="2:20" ht="14.25" hidden="1" customHeight="1" x14ac:dyDescent="0.2">
      <c r="B125" s="114" t="s">
        <v>33</v>
      </c>
      <c r="C125" s="114">
        <f>IF(E9="Y",0,1)</f>
        <v>0</v>
      </c>
      <c r="G125" s="85"/>
    </row>
    <row r="126" spans="2:20" ht="14.25" hidden="1" customHeight="1" x14ac:dyDescent="0.2">
      <c r="B126" s="113" t="s">
        <v>227</v>
      </c>
      <c r="C126" s="114"/>
      <c r="G126" s="85"/>
    </row>
    <row r="127" spans="2:20" ht="14.25" hidden="1" customHeight="1" x14ac:dyDescent="0.2">
      <c r="B127" s="114" t="s">
        <v>211</v>
      </c>
      <c r="C127" s="114">
        <f>IF(E11="Y",0,1)</f>
        <v>0</v>
      </c>
      <c r="G127" s="85"/>
    </row>
    <row r="128" spans="2:20" ht="14.25" hidden="1" customHeight="1" x14ac:dyDescent="0.2">
      <c r="B128" s="114" t="s">
        <v>249</v>
      </c>
      <c r="C128" s="114">
        <f>IF(E12="Y",0,1)</f>
        <v>0</v>
      </c>
      <c r="G128" s="85"/>
    </row>
    <row r="129" spans="2:7" ht="14.25" hidden="1" customHeight="1" x14ac:dyDescent="0.2">
      <c r="B129" s="113" t="s">
        <v>228</v>
      </c>
      <c r="C129" s="114"/>
      <c r="G129" s="85"/>
    </row>
    <row r="130" spans="2:7" ht="14.25" hidden="1" customHeight="1" x14ac:dyDescent="0.2">
      <c r="B130" s="114" t="s">
        <v>83</v>
      </c>
      <c r="C130" s="114">
        <f>IF(E14="Y",0,1)</f>
        <v>0</v>
      </c>
      <c r="G130" s="85"/>
    </row>
    <row r="131" spans="2:7" ht="14.25" hidden="1" customHeight="1" x14ac:dyDescent="0.2">
      <c r="B131" s="114" t="s">
        <v>129</v>
      </c>
      <c r="C131" s="114">
        <f>IF(E15="Y",0,1)</f>
        <v>0</v>
      </c>
      <c r="G131" s="85"/>
    </row>
    <row r="132" spans="2:7" ht="14.25" hidden="1" customHeight="1" x14ac:dyDescent="0.2">
      <c r="B132" s="114" t="s">
        <v>85</v>
      </c>
      <c r="C132" s="114">
        <f>IF(E16="Y",0,1)</f>
        <v>0</v>
      </c>
      <c r="G132" s="85"/>
    </row>
    <row r="133" spans="2:7" ht="14.25" hidden="1" customHeight="1" x14ac:dyDescent="0.2">
      <c r="B133" s="114" t="s">
        <v>231</v>
      </c>
      <c r="C133" s="114">
        <f>IF(SUM(C122:C132)&gt;0,1,0)</f>
        <v>0</v>
      </c>
      <c r="G133" s="85"/>
    </row>
    <row r="134" spans="2:7" ht="14.25" hidden="1" customHeight="1" x14ac:dyDescent="0.2">
      <c r="G134" s="85"/>
    </row>
    <row r="135" spans="2:7" ht="14.25" hidden="1" customHeight="1" x14ac:dyDescent="0.2">
      <c r="B135" s="109" t="s">
        <v>336</v>
      </c>
      <c r="C135" s="110"/>
      <c r="G135" s="85"/>
    </row>
    <row r="136" spans="2:7" ht="14.25" hidden="1" customHeight="1" x14ac:dyDescent="0.2">
      <c r="B136" s="109" t="s">
        <v>225</v>
      </c>
      <c r="C136" s="261" t="s">
        <v>226</v>
      </c>
      <c r="G136" s="85"/>
    </row>
    <row r="137" spans="2:7" ht="14.25" hidden="1" customHeight="1" x14ac:dyDescent="0.2">
      <c r="B137" s="110" t="s">
        <v>86</v>
      </c>
      <c r="C137" s="110">
        <f>IF(E18="Y",0,1)</f>
        <v>0</v>
      </c>
      <c r="G137" s="85"/>
    </row>
    <row r="138" spans="2:7" ht="14.25" hidden="1" customHeight="1" x14ac:dyDescent="0.2">
      <c r="B138" s="109" t="s">
        <v>227</v>
      </c>
      <c r="C138" s="110"/>
      <c r="G138" s="85"/>
    </row>
    <row r="139" spans="2:7" ht="14.25" hidden="1" customHeight="1" x14ac:dyDescent="0.2">
      <c r="B139" s="110" t="s">
        <v>208</v>
      </c>
      <c r="C139" s="110">
        <f>IF(E20="Y",0,1)</f>
        <v>0</v>
      </c>
      <c r="G139" s="85"/>
    </row>
    <row r="140" spans="2:7" ht="18.75" hidden="1" customHeight="1" x14ac:dyDescent="0.2">
      <c r="B140" s="110" t="s">
        <v>229</v>
      </c>
      <c r="C140" s="110">
        <f>IF(E21="Y",0,1)</f>
        <v>0</v>
      </c>
      <c r="G140" s="85"/>
    </row>
    <row r="141" spans="2:7" ht="18.75" hidden="1" customHeight="1" x14ac:dyDescent="0.2">
      <c r="B141" s="110" t="s">
        <v>230</v>
      </c>
      <c r="C141" s="110">
        <f>IF(E22="Y",0,1)</f>
        <v>1</v>
      </c>
      <c r="G141" s="85"/>
    </row>
    <row r="142" spans="2:7" hidden="1" x14ac:dyDescent="0.2">
      <c r="B142" s="110" t="s">
        <v>213</v>
      </c>
      <c r="C142" s="110">
        <f>IF(E23="Y",0,1)</f>
        <v>0</v>
      </c>
    </row>
    <row r="143" spans="2:7" hidden="1" x14ac:dyDescent="0.2">
      <c r="B143" s="109" t="s">
        <v>228</v>
      </c>
      <c r="C143" s="110"/>
    </row>
    <row r="144" spans="2:7" hidden="1" x14ac:dyDescent="0.2">
      <c r="B144" s="110" t="s">
        <v>91</v>
      </c>
      <c r="C144" s="110">
        <f>IF(E25="Y",0,1)</f>
        <v>0</v>
      </c>
    </row>
    <row r="145" spans="2:10" hidden="1" x14ac:dyDescent="0.2">
      <c r="B145" s="110" t="s">
        <v>337</v>
      </c>
      <c r="C145" s="110">
        <f>IF(SUM(C133,C137:C144)=0,0,1)</f>
        <v>1</v>
      </c>
    </row>
    <row r="146" spans="2:10" hidden="1" x14ac:dyDescent="0.2">
      <c r="C146" s="88"/>
      <c r="D146" s="88"/>
      <c r="E146" s="88"/>
      <c r="F146" s="88"/>
      <c r="G146" s="88"/>
      <c r="I146" s="88"/>
    </row>
    <row r="147" spans="2:10" hidden="1" x14ac:dyDescent="0.2">
      <c r="B147" s="113" t="s">
        <v>232</v>
      </c>
      <c r="C147" s="114"/>
      <c r="D147" s="114"/>
      <c r="E147" s="114"/>
      <c r="F147" s="114"/>
      <c r="G147" s="114"/>
      <c r="H147" s="114"/>
      <c r="I147" s="114"/>
      <c r="J147" s="114"/>
    </row>
    <row r="148" spans="2:10" hidden="1" x14ac:dyDescent="0.2">
      <c r="B148" s="264" t="str">
        <f>IF(C133=1,"Cwblhewch y tabl i weld amcangyfrifon wedi'u rhannu'n 2 ddeiliadaeth.","")</f>
        <v/>
      </c>
      <c r="C148" s="114" t="str">
        <f>IF($C$133=0,"2018/19","")</f>
        <v>2018/19</v>
      </c>
      <c r="D148" s="114" t="str">
        <f>IF($C$133=0,"2019/20","")</f>
        <v>2019/20</v>
      </c>
      <c r="E148" s="114" t="str">
        <f>IF($C$133=0,"2020/21","")</f>
        <v>2020/21</v>
      </c>
      <c r="F148" s="114" t="str">
        <f>IF($C$133=0,"2021/22","")</f>
        <v>2021/22</v>
      </c>
      <c r="G148" s="114" t="str">
        <f>IF($C$133=0,"2022/23","")</f>
        <v>2022/23</v>
      </c>
      <c r="H148" s="114"/>
      <c r="I148" s="114"/>
      <c r="J148" s="114"/>
    </row>
    <row r="149" spans="2:10" hidden="1" x14ac:dyDescent="0.2">
      <c r="B149" s="114" t="str">
        <f>IF($C$133=0,"Tai'r Farchnad","")</f>
        <v>Tai'r Farchnad</v>
      </c>
      <c r="C149" s="116">
        <f>IF($C$133=0,'Cyfrifiadau - De-ddwyrain'!C29,"")</f>
        <v>2432.4</v>
      </c>
      <c r="D149" s="116">
        <f>IF($C$133=0,'Cyfrifiadau - De-ddwyrain'!D29,"")</f>
        <v>2369.4</v>
      </c>
      <c r="E149" s="116">
        <f>IF($C$133=0,'Cyfrifiadau - De-ddwyrain'!E29,"")</f>
        <v>2412.6</v>
      </c>
      <c r="F149" s="116">
        <f>IF($C$133=0,'Cyfrifiadau - De-ddwyrain'!F29,"")</f>
        <v>2571</v>
      </c>
      <c r="G149" s="116">
        <f>IF($C$133=0,'Cyfrifiadau - De-ddwyrain'!G29,"")</f>
        <v>2465.4</v>
      </c>
      <c r="H149" s="114"/>
      <c r="I149" s="114"/>
      <c r="J149" s="114"/>
    </row>
    <row r="150" spans="2:10" hidden="1" x14ac:dyDescent="0.2">
      <c r="B150" s="114" t="str">
        <f>IF($C$133=0,"Tai Fforddiadwy","")</f>
        <v>Tai Fforddiadwy</v>
      </c>
      <c r="C150" s="116">
        <f>IF($C$133=0,'Cyfrifiadau - De-ddwyrain'!C30,"")</f>
        <v>2270.9999999999995</v>
      </c>
      <c r="D150" s="116">
        <f>IF($C$133=0,'Cyfrifiadau - De-ddwyrain'!D30,"")</f>
        <v>2228.9999999999995</v>
      </c>
      <c r="E150" s="116">
        <f>IF($C$133=0,'Cyfrifiadau - De-ddwyrain'!E30,"")</f>
        <v>2257.7999999999997</v>
      </c>
      <c r="F150" s="116">
        <f>IF($C$133=0,'Cyfrifiadau - De-ddwyrain'!F30,"")</f>
        <v>2363.3999999999996</v>
      </c>
      <c r="G150" s="116">
        <f>IF($C$133=0,'Cyfrifiadau - De-ddwyrain'!G30,"")</f>
        <v>2292.9999999999995</v>
      </c>
      <c r="H150" s="114"/>
      <c r="I150" s="114"/>
      <c r="J150" s="114"/>
    </row>
    <row r="151" spans="2:10" hidden="1" x14ac:dyDescent="0.2">
      <c r="B151" s="114" t="str">
        <f>IF(C133=1,"Cwblhewch y tabl i weld amcangyfrifon wedi'u rhannu'n 2 ddeiliadaeth.","")</f>
        <v/>
      </c>
      <c r="C151" s="114" t="str">
        <f>IF($C$133=0,"2018/19","")</f>
        <v>2018/19</v>
      </c>
      <c r="D151" s="114" t="str">
        <f>IF($C$133=0,"2019/20","")</f>
        <v>2019/20</v>
      </c>
      <c r="E151" s="114" t="str">
        <f>IF($C$133=0,"2020/21","")</f>
        <v>2020/21</v>
      </c>
      <c r="F151" s="114" t="str">
        <f>IF($C$133=0,"2021/22","")</f>
        <v>2021/22</v>
      </c>
      <c r="G151" s="114" t="str">
        <f>IF($C$133=0,"2022/23","")</f>
        <v>2022/23</v>
      </c>
      <c r="H151" s="114"/>
      <c r="I151" s="114" t="str">
        <f>IF(C133=1,"","Rhaniad Blynyddol Cyfartalog ar draws 5 mlynedd")</f>
        <v>Rhaniad Blynyddol Cyfartalog ar draws 5 mlynedd</v>
      </c>
      <c r="J151" s="114"/>
    </row>
    <row r="152" spans="2:10" hidden="1" x14ac:dyDescent="0.2">
      <c r="B152" s="114" t="str">
        <f>IF($C$133=0,"Tai'r Farchnad","")</f>
        <v>Tai'r Farchnad</v>
      </c>
      <c r="C152" s="117">
        <f>IF($C$133=1,"",C149/SUM(C$149:C$150))</f>
        <v>0.51715780073989037</v>
      </c>
      <c r="D152" s="117">
        <f t="shared" ref="D152:G153" si="8">IF($C$133=1,"",D149/SUM(D$149:D$150))</f>
        <v>0.51526617954070986</v>
      </c>
      <c r="E152" s="117">
        <f t="shared" si="8"/>
        <v>0.51657245632065774</v>
      </c>
      <c r="F152" s="117">
        <f t="shared" si="8"/>
        <v>0.52103599221789887</v>
      </c>
      <c r="G152" s="117">
        <f t="shared" si="8"/>
        <v>0.51811533288500344</v>
      </c>
      <c r="H152" s="114"/>
      <c r="I152" s="117">
        <f>IF($C$133=1,"",SUM(C149:G149)/SUM($C$149:$G$150))</f>
        <v>0.51767589266849778</v>
      </c>
      <c r="J152" s="114"/>
    </row>
    <row r="153" spans="2:10" hidden="1" x14ac:dyDescent="0.2">
      <c r="B153" s="114" t="str">
        <f>IF($C$133=0,"Tai Fforddiadwy","")</f>
        <v>Tai Fforddiadwy</v>
      </c>
      <c r="C153" s="117">
        <f>IF($C$133=1,"",C150/SUM(C$149:C$150))</f>
        <v>0.48284219926010963</v>
      </c>
      <c r="D153" s="117">
        <f t="shared" si="8"/>
        <v>0.48473382045929014</v>
      </c>
      <c r="E153" s="117">
        <f t="shared" si="8"/>
        <v>0.48342754367934221</v>
      </c>
      <c r="F153" s="117">
        <f t="shared" si="8"/>
        <v>0.47896400778210113</v>
      </c>
      <c r="G153" s="117">
        <f t="shared" si="8"/>
        <v>0.48188466711499656</v>
      </c>
      <c r="H153" s="114"/>
      <c r="I153" s="117">
        <f>IF($C$133=1,"",SUM(C150:G150)/SUM($C$149:$G$150))</f>
        <v>0.48232410733150216</v>
      </c>
      <c r="J153" s="114"/>
    </row>
    <row r="154" spans="2:10" hidden="1" x14ac:dyDescent="0.2">
      <c r="C154" s="88"/>
      <c r="D154" s="88"/>
      <c r="E154" s="88"/>
      <c r="F154" s="88"/>
      <c r="G154" s="88"/>
      <c r="I154" s="88"/>
    </row>
    <row r="155" spans="2:10" hidden="1" x14ac:dyDescent="0.2">
      <c r="C155" s="88"/>
      <c r="D155" s="88"/>
      <c r="E155" s="88"/>
      <c r="F155" s="88"/>
      <c r="G155" s="88"/>
      <c r="I155" s="88"/>
    </row>
    <row r="156" spans="2:10" hidden="1" x14ac:dyDescent="0.2">
      <c r="B156" s="109" t="s">
        <v>338</v>
      </c>
      <c r="C156" s="110"/>
      <c r="D156" s="110"/>
      <c r="E156" s="110"/>
      <c r="F156" s="110"/>
      <c r="G156" s="110"/>
      <c r="H156" s="110"/>
      <c r="I156" s="110"/>
      <c r="J156" s="110"/>
    </row>
    <row r="157" spans="2:10" ht="51" hidden="1" x14ac:dyDescent="0.2">
      <c r="B157" s="260" t="str">
        <f>IF(C145=1,"Cwblhewch y tabl i weld amcangyfrifon wedi'u rhannu'n 4 deiliadaeth.","")</f>
        <v>Cwblhewch y tabl i weld amcangyfrifon wedi'u rhannu'n 4 deiliadaeth.</v>
      </c>
      <c r="C157" s="110" t="str">
        <f>IF($C$145=0,"2018/19","")</f>
        <v/>
      </c>
      <c r="D157" s="110" t="str">
        <f>IF($C$145=0,"2019/20","")</f>
        <v/>
      </c>
      <c r="E157" s="110" t="str">
        <f>IF($C$145=0,"2020/21","")</f>
        <v/>
      </c>
      <c r="F157" s="110" t="str">
        <f>IF($C$145=0,"2021/22","")</f>
        <v/>
      </c>
      <c r="G157" s="110" t="str">
        <f>IF($C$145=0,"2022/23","")</f>
        <v/>
      </c>
      <c r="H157" s="110"/>
      <c r="I157" s="110"/>
      <c r="J157" s="110"/>
    </row>
    <row r="158" spans="2:10" hidden="1" x14ac:dyDescent="0.2">
      <c r="B158" s="110" t="str">
        <f>IF($C$145=0,"Perchen-feddiannydd","")</f>
        <v/>
      </c>
      <c r="C158" s="111" t="str">
        <f>IF($C$145=0,'Cyfrifiadau - De-ddwyrain'!C59,"")</f>
        <v/>
      </c>
      <c r="D158" s="111" t="str">
        <f>IF($C$145=0,'Cyfrifiadau - De-ddwyrain'!D59,"")</f>
        <v/>
      </c>
      <c r="E158" s="111" t="str">
        <f>IF($C$145=0,'Cyfrifiadau - De-ddwyrain'!E59,"")</f>
        <v/>
      </c>
      <c r="F158" s="111" t="str">
        <f>IF($C$145=0,'Cyfrifiadau - De-ddwyrain'!F59,"")</f>
        <v/>
      </c>
      <c r="G158" s="111" t="str">
        <f>IF($C$145=0,'Cyfrifiadau - De-ddwyrain'!G59,"")</f>
        <v/>
      </c>
      <c r="H158" s="110"/>
      <c r="I158" s="110"/>
      <c r="J158" s="110"/>
    </row>
    <row r="159" spans="2:10" hidden="1" x14ac:dyDescent="0.2">
      <c r="B159" s="110" t="str">
        <f>IF($C$145=0,"Y Sector Rhentu Preifat","")</f>
        <v/>
      </c>
      <c r="C159" s="111" t="str">
        <f>IF($C$145=0,'Cyfrifiadau - De-ddwyrain'!C60,"")</f>
        <v/>
      </c>
      <c r="D159" s="111" t="str">
        <f>IF($C$145=0,'Cyfrifiadau - De-ddwyrain'!D60,"")</f>
        <v/>
      </c>
      <c r="E159" s="111" t="str">
        <f>IF($C$145=0,'Cyfrifiadau - De-ddwyrain'!E60,"")</f>
        <v/>
      </c>
      <c r="F159" s="111" t="str">
        <f>IF($C$145=0,'Cyfrifiadau - De-ddwyrain'!F60,"")</f>
        <v/>
      </c>
      <c r="G159" s="111" t="str">
        <f>IF($C$145=0,'Cyfrifiadau - De-ddwyrain'!G60,"")</f>
        <v/>
      </c>
      <c r="H159" s="110"/>
      <c r="I159" s="110"/>
      <c r="J159" s="110"/>
    </row>
    <row r="160" spans="2:10" hidden="1" x14ac:dyDescent="0.2">
      <c r="B160" s="110" t="str">
        <f>IF($C$145=0,"Cymdeithasol","")</f>
        <v/>
      </c>
      <c r="C160" s="111" t="str">
        <f>IF($C$145=0,'Cyfrifiadau - De-ddwyrain'!C61,"")</f>
        <v/>
      </c>
      <c r="D160" s="111" t="str">
        <f>IF($C$145=0,'Cyfrifiadau - De-ddwyrain'!D61,"")</f>
        <v/>
      </c>
      <c r="E160" s="111" t="str">
        <f>IF($C$145=0,'Cyfrifiadau - De-ddwyrain'!E61,"")</f>
        <v/>
      </c>
      <c r="F160" s="111" t="str">
        <f>IF($C$145=0,'Cyfrifiadau - De-ddwyrain'!F61,"")</f>
        <v/>
      </c>
      <c r="G160" s="111" t="str">
        <f>IF($C$145=0,'Cyfrifiadau - De-ddwyrain'!G61,"")</f>
        <v/>
      </c>
      <c r="H160" s="110"/>
      <c r="I160" s="110"/>
      <c r="J160" s="110"/>
    </row>
    <row r="161" spans="2:24" hidden="1" x14ac:dyDescent="0.2">
      <c r="B161" s="110" t="str">
        <f>IF($C$145=0,"Canolradd","")</f>
        <v/>
      </c>
      <c r="C161" s="111" t="str">
        <f>IF($C$145=0,'Cyfrifiadau - De-ddwyrain'!C62,"")</f>
        <v/>
      </c>
      <c r="D161" s="111" t="str">
        <f>IF($C$145=0,'Cyfrifiadau - De-ddwyrain'!D62,"")</f>
        <v/>
      </c>
      <c r="E161" s="111" t="str">
        <f>IF($C$145=0,'Cyfrifiadau - De-ddwyrain'!E62,"")</f>
        <v/>
      </c>
      <c r="F161" s="111" t="str">
        <f>IF($C$145=0,'Cyfrifiadau - De-ddwyrain'!F62,"")</f>
        <v/>
      </c>
      <c r="G161" s="111" t="str">
        <f>IF($C$145=0,'Cyfrifiadau - De-ddwyrain'!G62,"")</f>
        <v/>
      </c>
      <c r="H161" s="110"/>
      <c r="I161" s="110"/>
      <c r="J161" s="110"/>
    </row>
    <row r="162" spans="2:24" ht="51" hidden="1" x14ac:dyDescent="0.2">
      <c r="B162" s="260" t="str">
        <f>IF(C145=1,"Cwblhewch y tabl i weld amcangyfrifon wedi'u rhannu'n 4 deiliadaeth.","")</f>
        <v>Cwblhewch y tabl i weld amcangyfrifon wedi'u rhannu'n 4 deiliadaeth.</v>
      </c>
      <c r="C162" s="110" t="str">
        <f>IF($C$145=0,"2018/19","")</f>
        <v/>
      </c>
      <c r="D162" s="110" t="str">
        <f>IF($C$145=0,"2019/20","")</f>
        <v/>
      </c>
      <c r="E162" s="110" t="str">
        <f>IF($C$145=0,"2020/21","")</f>
        <v/>
      </c>
      <c r="F162" s="110" t="str">
        <f>IF($C$145=0,"2021/22","")</f>
        <v/>
      </c>
      <c r="G162" s="110" t="str">
        <f>IF($C$145=0,"2022/23","")</f>
        <v/>
      </c>
      <c r="H162" s="110"/>
      <c r="I162" s="386" t="str">
        <f>IF(C145=1,"","Rhaniad Blynyddol Cyfartalog ar draws 5 mlynedd")</f>
        <v/>
      </c>
      <c r="J162" s="386"/>
    </row>
    <row r="163" spans="2:24" hidden="1" x14ac:dyDescent="0.2">
      <c r="B163" s="110" t="str">
        <f>IF($C$145=0,"Perchen-feddiannydd","")</f>
        <v/>
      </c>
      <c r="C163" s="112" t="str">
        <f>IF($C$145=1,"",C158/SUM(C$158:C$161))</f>
        <v/>
      </c>
      <c r="D163" s="112" t="str">
        <f t="shared" ref="D163:G163" si="9">IF($C$145=1,"",D158/SUM(D$158:D$161))</f>
        <v/>
      </c>
      <c r="E163" s="112" t="str">
        <f t="shared" si="9"/>
        <v/>
      </c>
      <c r="F163" s="112" t="str">
        <f t="shared" si="9"/>
        <v/>
      </c>
      <c r="G163" s="112" t="str">
        <f t="shared" si="9"/>
        <v/>
      </c>
      <c r="H163" s="110"/>
      <c r="I163" s="112" t="str">
        <f>IF($C$145=1,"",SUM(C158:G158)/SUM($C$158:$G$161))</f>
        <v/>
      </c>
      <c r="J163" s="110"/>
    </row>
    <row r="164" spans="2:24" hidden="1" x14ac:dyDescent="0.2">
      <c r="B164" s="110" t="str">
        <f>IF($C$145=0,"Y Sector Rhentu Preifat","")</f>
        <v/>
      </c>
      <c r="C164" s="112" t="str">
        <f t="shared" ref="C164:G166" si="10">IF($C$145=1,"",C159/SUM(C$158:C$161))</f>
        <v/>
      </c>
      <c r="D164" s="112" t="str">
        <f t="shared" si="10"/>
        <v/>
      </c>
      <c r="E164" s="112" t="str">
        <f t="shared" si="10"/>
        <v/>
      </c>
      <c r="F164" s="112" t="str">
        <f t="shared" si="10"/>
        <v/>
      </c>
      <c r="G164" s="112" t="str">
        <f t="shared" si="10"/>
        <v/>
      </c>
      <c r="H164" s="110"/>
      <c r="I164" s="112" t="str">
        <f t="shared" ref="I164:I166" si="11">IF($C$145=1,"",SUM(C159:G159)/SUM($C$158:$G$161))</f>
        <v/>
      </c>
      <c r="J164" s="110"/>
    </row>
    <row r="165" spans="2:24" hidden="1" x14ac:dyDescent="0.2">
      <c r="B165" s="110" t="str">
        <f>IF($C$145=0,"Rhent Cymdeithasol","")</f>
        <v/>
      </c>
      <c r="C165" s="112" t="str">
        <f t="shared" si="10"/>
        <v/>
      </c>
      <c r="D165" s="112" t="str">
        <f t="shared" si="10"/>
        <v/>
      </c>
      <c r="E165" s="112" t="str">
        <f t="shared" si="10"/>
        <v/>
      </c>
      <c r="F165" s="112" t="str">
        <f t="shared" si="10"/>
        <v/>
      </c>
      <c r="G165" s="112" t="str">
        <f t="shared" si="10"/>
        <v/>
      </c>
      <c r="H165" s="110"/>
      <c r="I165" s="112" t="str">
        <f t="shared" si="11"/>
        <v/>
      </c>
      <c r="J165" s="110"/>
    </row>
    <row r="166" spans="2:24" hidden="1" x14ac:dyDescent="0.2">
      <c r="B166" s="110" t="str">
        <f>IF($C$145=0,"Rhent Canolradd","")</f>
        <v/>
      </c>
      <c r="C166" s="112" t="str">
        <f>IF($C$145=1,"",C161/SUM(C$158:C$161))</f>
        <v/>
      </c>
      <c r="D166" s="112" t="str">
        <f t="shared" si="10"/>
        <v/>
      </c>
      <c r="E166" s="112" t="str">
        <f t="shared" si="10"/>
        <v/>
      </c>
      <c r="F166" s="112" t="str">
        <f t="shared" si="10"/>
        <v/>
      </c>
      <c r="G166" s="112" t="str">
        <f t="shared" si="10"/>
        <v/>
      </c>
      <c r="H166" s="110"/>
      <c r="I166" s="112" t="str">
        <f t="shared" si="11"/>
        <v/>
      </c>
      <c r="J166" s="110"/>
    </row>
    <row r="167" spans="2:24" hidden="1" x14ac:dyDescent="0.2">
      <c r="C167" s="88"/>
      <c r="D167" s="88"/>
      <c r="E167" s="88"/>
      <c r="F167" s="88"/>
      <c r="G167" s="88"/>
      <c r="I167" s="88"/>
    </row>
    <row r="168" spans="2:24" hidden="1" x14ac:dyDescent="0.2">
      <c r="B168" s="72" t="s">
        <v>205</v>
      </c>
      <c r="C168" s="88"/>
      <c r="D168" s="88"/>
      <c r="E168" s="88"/>
      <c r="F168" s="88"/>
      <c r="G168" s="88"/>
      <c r="I168" s="88"/>
    </row>
    <row r="169" spans="2:24" hidden="1" x14ac:dyDescent="0.2">
      <c r="C169" s="88" t="str">
        <f>"Mae'r ffigurau isod yn rhannu'r amcangyfrifon o'r angen o ran tai yn "&amp;D1&amp;" yn ddwy ddeiliadaeth, ac maent wedi'i seilio ar y rhagdybiaethau canlynol."</f>
        <v>Mae'r ffigurau isod yn rhannu'r amcangyfrifon o'r angen o ran tai yn De-ddwyrain Cymru yn ddwy ddeiliadaeth, ac maent wedi'i seilio ar y rhagdybiaethau canlynol.</v>
      </c>
      <c r="D169" s="88" t="str">
        <f>"Yn dilyn yr uchod, caiff amcangyfrifon "&amp;D1&amp;" eu rhannu ymhellach yn bedair deiliadaeth. Caiff yr amcangyfrifon hyn eu cynhyrchu gan y defnyddiwr, ac maent yn seiliedig ar y rhagdybiaethau canlynol. "</f>
        <v xml:space="preserve">Yn dilyn yr uchod, caiff amcangyfrifon De-ddwyrain Cymru eu rhannu ymhellach yn bedair deiliadaeth. Caiff yr amcangyfrifon hyn eu cynhyrchu gan y defnyddiwr, ac maent yn seiliedig ar y rhagdybiaethau canlynol. </v>
      </c>
      <c r="E169" s="88" t="s">
        <v>215</v>
      </c>
      <c r="F169" s="88" t="s">
        <v>216</v>
      </c>
      <c r="G169" s="88" t="s">
        <v>250</v>
      </c>
      <c r="H169" s="88" t="s">
        <v>251</v>
      </c>
      <c r="I169" s="88" t="s">
        <v>252</v>
      </c>
      <c r="J169" s="73" t="e">
        <f>". Mae gan brynwyr am y tro cyntaf gymhareb fforddiadwyedd o "&amp;C175&amp;" a gallant brynu eiddo am y tro cyntaf yn ôl  "&amp;C176&amp;" canradd dosbarthiad prisiau tai. "&amp;C177</f>
        <v>#VALUE!</v>
      </c>
    </row>
    <row r="170" spans="2:24" hidden="1" x14ac:dyDescent="0.2">
      <c r="B170" s="73" t="s">
        <v>30</v>
      </c>
      <c r="C170" s="88" t="str">
        <f>IF(D6="Amcanestyniad y Defnyddiwr","amcanestyniadau'r aelwyd gan y defnyddiwr,",("amcanestyniadau aelwydydd gan Llywodraeth Cymru sy'n seiliedig ar 2014 "&amp;"("&amp;D6&amp;")"))</f>
        <v>amcanestyniadau aelwydydd gan Llywodraeth Cymru sy'n seiliedig ar 2014 (Prif Amcanestyniadau)</v>
      </c>
      <c r="D170" s="88"/>
      <c r="E170" s="88"/>
      <c r="F170" s="88"/>
      <c r="G170" s="88"/>
      <c r="I170" s="88"/>
    </row>
    <row r="171" spans="2:24" ht="15" hidden="1" customHeight="1" x14ac:dyDescent="0.2">
      <c r="B171" s="73" t="s">
        <v>151</v>
      </c>
      <c r="C171" s="89" t="str">
        <f>IF(D7="Amcangyfrifon LlC",'Angen Presennol Nas Diwallwyd'!C12,'Angen Presennol Nas Diwallwyd'!C21)&amp;" aelwydydd o ran angen presennol nas diwallwyd "</f>
        <v xml:space="preserve">5645 aelwydydd o ran angen presennol nas diwallwyd </v>
      </c>
      <c r="D171" s="88"/>
      <c r="E171" s="88"/>
      <c r="F171" s="88"/>
      <c r="G171" s="88"/>
      <c r="J171" s="90"/>
      <c r="K171" s="90"/>
      <c r="L171" s="90"/>
      <c r="M171" s="90"/>
      <c r="N171" s="90"/>
      <c r="O171" s="90"/>
      <c r="P171" s="90"/>
      <c r="R171" s="90"/>
      <c r="S171" s="90"/>
      <c r="T171" s="90"/>
      <c r="U171" s="90"/>
      <c r="V171" s="90"/>
      <c r="W171" s="90"/>
      <c r="X171" s="90"/>
    </row>
    <row r="172" spans="2:24" hidden="1" x14ac:dyDescent="0.2">
      <c r="B172" s="73" t="s">
        <v>207</v>
      </c>
      <c r="C172" s="88" t="str">
        <f>IF(D8="Arall", " amcangyfrifon defnyddwyr "," Ddata Llywodraeth Cymru ")</f>
        <v xml:space="preserve"> Ddata Llywodraeth Cymru </v>
      </c>
      <c r="D172" s="88"/>
      <c r="E172" s="88"/>
      <c r="F172" s="88"/>
      <c r="G172" s="88"/>
      <c r="I172" s="90"/>
      <c r="J172" s="90"/>
      <c r="K172" s="90"/>
      <c r="L172" s="90"/>
      <c r="M172" s="90"/>
      <c r="N172" s="90"/>
      <c r="O172" s="90"/>
      <c r="P172" s="90"/>
      <c r="R172" s="90"/>
      <c r="S172" s="90"/>
      <c r="T172" s="90"/>
      <c r="U172" s="90"/>
      <c r="V172" s="90"/>
      <c r="W172" s="90"/>
      <c r="X172" s="90"/>
    </row>
    <row r="173" spans="2:24" hidden="1" x14ac:dyDescent="0.2">
      <c r="B173" s="73" t="s">
        <v>86</v>
      </c>
      <c r="C173" s="88" t="str">
        <f>IF(D18="Arall", " amcangyfrifon defnyddwyr"," Ddata Cofrestrfa Tir")</f>
        <v xml:space="preserve"> Ddata Cofrestrfa Tir</v>
      </c>
      <c r="D173" s="88"/>
      <c r="E173" s="88"/>
      <c r="F173" s="88"/>
      <c r="G173" s="88"/>
      <c r="I173" s="90"/>
      <c r="J173" s="90"/>
      <c r="K173" s="90"/>
      <c r="L173" s="90"/>
      <c r="M173" s="90"/>
      <c r="N173" s="90"/>
      <c r="O173" s="90"/>
      <c r="P173" s="90"/>
      <c r="R173" s="90"/>
      <c r="S173" s="90"/>
      <c r="T173" s="90"/>
      <c r="U173" s="90"/>
      <c r="V173" s="90"/>
      <c r="W173" s="90"/>
      <c r="X173" s="90"/>
    </row>
    <row r="174" spans="2:24" hidden="1" x14ac:dyDescent="0.2">
      <c r="B174" s="73" t="s">
        <v>33</v>
      </c>
      <c r="C174" s="88" t="str">
        <f>IF(D9="Arall", " amcangyfrifon defnyddwyr"," Ddata Llywodraeth Cymru")</f>
        <v xml:space="preserve"> Ddata Llywodraeth Cymru</v>
      </c>
      <c r="D174" s="88"/>
      <c r="E174" s="88"/>
      <c r="F174" s="88"/>
      <c r="G174" s="88"/>
      <c r="I174" s="90"/>
      <c r="J174" s="90"/>
      <c r="K174" s="90"/>
      <c r="L174" s="90"/>
      <c r="M174" s="90"/>
      <c r="N174" s="90"/>
      <c r="O174" s="90"/>
      <c r="P174" s="90"/>
      <c r="R174" s="90"/>
      <c r="S174" s="90"/>
      <c r="T174" s="90"/>
      <c r="U174" s="90"/>
      <c r="V174" s="90"/>
      <c r="W174" s="90"/>
      <c r="X174" s="90"/>
    </row>
    <row r="175" spans="2:24" hidden="1" x14ac:dyDescent="0.2">
      <c r="B175" s="73" t="s">
        <v>208</v>
      </c>
      <c r="C175" s="91">
        <f>C114</f>
        <v>3.8</v>
      </c>
      <c r="D175" s="88"/>
      <c r="E175" s="88"/>
      <c r="F175" s="88"/>
      <c r="G175" s="88"/>
      <c r="I175" s="90"/>
      <c r="J175" s="90"/>
      <c r="K175" s="90"/>
      <c r="L175" s="90"/>
      <c r="M175" s="90"/>
      <c r="N175" s="90"/>
      <c r="O175" s="90"/>
      <c r="P175" s="90"/>
      <c r="R175" s="90"/>
      <c r="S175" s="90"/>
      <c r="T175" s="90"/>
      <c r="U175" s="90"/>
      <c r="V175" s="90"/>
      <c r="W175" s="90"/>
      <c r="X175" s="90"/>
    </row>
    <row r="176" spans="2:24" hidden="1" x14ac:dyDescent="0.2">
      <c r="B176" s="73" t="s">
        <v>209</v>
      </c>
      <c r="C176" s="91">
        <f>C115</f>
        <v>25</v>
      </c>
      <c r="D176" s="88"/>
      <c r="E176" s="88"/>
      <c r="F176" s="88"/>
      <c r="G176" s="88"/>
      <c r="I176" s="90"/>
      <c r="J176" s="90"/>
      <c r="K176" s="90"/>
      <c r="L176" s="90"/>
      <c r="M176" s="90"/>
      <c r="N176" s="90"/>
      <c r="O176" s="90"/>
      <c r="P176" s="90"/>
      <c r="R176" s="90"/>
      <c r="S176" s="90"/>
      <c r="T176" s="90"/>
      <c r="U176" s="90"/>
      <c r="V176" s="90"/>
      <c r="W176" s="90"/>
      <c r="X176" s="90"/>
    </row>
    <row r="177" spans="2:23" hidden="1" x14ac:dyDescent="0.2">
      <c r="B177" s="73" t="s">
        <v>210</v>
      </c>
      <c r="C177" s="88" t="e">
        <f>C116*100&amp;"% o brynwyr potensial am y tro cyntaf sy'n mynd ymlaen i brynu eiddo. "</f>
        <v>#VALUE!</v>
      </c>
      <c r="D177" s="88"/>
      <c r="E177" s="88"/>
      <c r="F177" s="88"/>
      <c r="G177" s="88"/>
      <c r="I177" s="90"/>
      <c r="J177" s="90"/>
      <c r="K177" s="90"/>
      <c r="L177" s="90"/>
      <c r="M177" s="90"/>
      <c r="N177" s="90"/>
      <c r="O177" s="90"/>
      <c r="P177" s="90"/>
      <c r="R177" s="90"/>
      <c r="S177" s="90"/>
      <c r="T177" s="90"/>
      <c r="U177" s="90"/>
      <c r="V177" s="90"/>
      <c r="W177" s="90"/>
    </row>
    <row r="178" spans="2:23" hidden="1" x14ac:dyDescent="0.2">
      <c r="B178" s="73" t="s">
        <v>211</v>
      </c>
      <c r="C178" s="88" t="str">
        <f>"Gall aelwydydd sy'n gwario "&amp;C108*100&amp;"% o incwm yr aelwyd ar rent preifat canolrifol fforddio rhent preifat,"</f>
        <v>Gall aelwydydd sy'n gwario 30% o incwm yr aelwyd ar rent preifat canolrifol fforddio rhent preifat,</v>
      </c>
      <c r="D178" s="88"/>
      <c r="E178" s="88"/>
      <c r="F178" s="88"/>
      <c r="G178" s="88"/>
      <c r="I178" s="88"/>
    </row>
    <row r="179" spans="2:23" hidden="1" x14ac:dyDescent="0.2">
      <c r="B179" s="73" t="s">
        <v>213</v>
      </c>
      <c r="C179" s="88" t="str">
        <f>"Mae aelwydydd sy'n gwario "&amp;C117*100&amp;"% o incwm yr aelwyd ar rent preifat 30 canradd yn addas ar gyfer dai cymdeithasol."</f>
        <v>Mae aelwydydd sy'n gwario 35% o incwm yr aelwyd ar rent preifat 30 canradd yn addas ar gyfer dai cymdeithasol.</v>
      </c>
      <c r="D179" s="88"/>
      <c r="E179" s="88"/>
      <c r="F179" s="88"/>
      <c r="G179" s="88"/>
      <c r="I179" s="88"/>
    </row>
    <row r="180" spans="2:23" hidden="1" x14ac:dyDescent="0.2">
      <c r="B180" s="73" t="s">
        <v>82</v>
      </c>
      <c r="C180" s="88" t="str">
        <f>" a fydd yn cymryd "&amp;'Angen Presennol Nas Diwallwyd'!C28&amp;" mlynedd i'w diwallu."</f>
        <v xml:space="preserve"> a fydd yn cymryd 5 mlynedd i'w diwallu.</v>
      </c>
      <c r="D180" s="88"/>
      <c r="E180" s="88"/>
      <c r="F180" s="88"/>
      <c r="G180" s="88"/>
      <c r="I180" s="88"/>
    </row>
    <row r="181" spans="2:23" hidden="1" x14ac:dyDescent="0.2">
      <c r="B181" s="73" t="s">
        <v>83</v>
      </c>
      <c r="C181" s="88" t="str">
        <f>". Mae'r newid blynyddol i incwm canolrifol yr aelwyd yn seiliedig ar "&amp;IF(D14="Arall","amcangyfrifon defnyddwyr","amcangyfrifon wedi'u rhagosod")</f>
        <v>. Mae'r newid blynyddol i incwm canolrifol yr aelwyd yn seiliedig ar amcangyfrifon wedi'u rhagosod</v>
      </c>
      <c r="D181" s="88"/>
      <c r="E181" s="88"/>
      <c r="F181" s="88"/>
      <c r="G181" s="88"/>
      <c r="I181" s="88"/>
    </row>
    <row r="182" spans="2:23" hidden="1" x14ac:dyDescent="0.2">
      <c r="B182" s="73" t="s">
        <v>84</v>
      </c>
      <c r="C182" s="88" t="str">
        <f>", mae'r newid blynyddol i ddosbarthiad incwm yr aelwyd yn seiliedig ar "&amp;IF(D15="Arall","amcangyfrifon defnyddwyr","amcangyfrifon wedi'u rhagosod")</f>
        <v>, mae'r newid blynyddol i ddosbarthiad incwm yr aelwyd yn seiliedig ar amcangyfrifon wedi'u rhagosod</v>
      </c>
      <c r="D182" s="88"/>
      <c r="E182" s="88"/>
      <c r="F182" s="88"/>
      <c r="G182" s="88"/>
      <c r="I182" s="88"/>
    </row>
    <row r="183" spans="2:23" hidden="1" x14ac:dyDescent="0.2">
      <c r="B183" s="73" t="s">
        <v>212</v>
      </c>
      <c r="C183" s="88" t="str">
        <f>", mae'r newid blynyddol i brisiau tai yn seiliedig ar "&amp;IF(D25="Arall","amcangyfrifon defnyddwyr","amcangyfrifon wedi'u rhagosod")</f>
        <v>, mae'r newid blynyddol i brisiau tai yn seiliedig ar amcangyfrifon wedi'u rhagosod</v>
      </c>
      <c r="D183" s="88"/>
      <c r="E183" s="88"/>
      <c r="F183" s="88"/>
      <c r="G183" s="88"/>
      <c r="I183" s="88"/>
    </row>
    <row r="184" spans="2:23" hidden="1" x14ac:dyDescent="0.2">
      <c r="B184" s="73" t="s">
        <v>130</v>
      </c>
      <c r="C184" s="88" t="str">
        <f>" ac mae'r newid blynyddol i brisiau rhenti yn seiliedig ar "&amp;IF(D16="Arall","amcangyfrifon y defnyddwyr","amcangyfrifon wedi'u rhagosod.")</f>
        <v xml:space="preserve"> ac mae'r newid blynyddol i brisiau rhenti yn seiliedig ar amcangyfrifon wedi'u rhagosod.</v>
      </c>
      <c r="D184" s="88"/>
      <c r="E184" s="88"/>
      <c r="F184" s="88"/>
      <c r="G184" s="88"/>
      <c r="I184" s="88"/>
    </row>
    <row r="185" spans="2:23" hidden="1" x14ac:dyDescent="0.2">
      <c r="C185" s="88"/>
      <c r="D185" s="88"/>
      <c r="E185" s="88"/>
      <c r="F185" s="88"/>
      <c r="G185" s="88"/>
      <c r="I185" s="88"/>
    </row>
    <row r="186" spans="2:23" hidden="1" x14ac:dyDescent="0.2">
      <c r="B186" s="72" t="s">
        <v>217</v>
      </c>
      <c r="C186" s="88"/>
      <c r="D186" s="88"/>
      <c r="E186" s="88"/>
      <c r="F186" s="88"/>
      <c r="G186" s="88"/>
      <c r="I186" s="88"/>
    </row>
    <row r="187" spans="2:23" hidden="1" x14ac:dyDescent="0.2">
      <c r="B187" s="92" t="str">
        <f>C169&amp;E169&amp;C170&amp;F169&amp;C171&amp;C180&amp;H169&amp;C172&amp;I169&amp;C174&amp;C181&amp;C182&amp;C184</f>
        <v>Mae'r ffigurau isod yn rhannu'r amcangyfrifon o'r angen o ran tai yn De-ddwyrain Cymru yn ddwy ddeiliadaeth, ac maent wedi'i seilio ar y rhagdybiaethau canlynol.Mae amcangyfrifon sylfaenol yr unedau tai ychwanegol wedi'u seilio ar  amcanestyniadau aelwydydd gan Llywodraeth Cymru sy'n seiliedig ar 2014 (Prif Amcanestyniadau), ac amcangyfrif o 5645 aelwydydd o ran angen presennol nas diwallwyd  a fydd yn cymryd 5 mlynedd i'w diwallu.Mae data ar incwm yn seiliedig ar  Ddata Llywodraeth Cymru ac mae data ar renti preifat yn seiliedig ar  Ddata Llywodraeth Cymru. Mae'r newid blynyddol i incwm canolrifol yr aelwyd yn seiliedig ar amcangyfrifon wedi'u rhagosod, mae'r newid blynyddol i ddosbarthiad incwm yr aelwyd yn seiliedig ar amcangyfrifon wedi'u rhagosod ac mae'r newid blynyddol i brisiau rhenti yn seiliedig ar amcangyfrifon wedi'u rhagosod.</v>
      </c>
      <c r="C187" s="88"/>
      <c r="D187" s="88"/>
      <c r="E187" s="88"/>
      <c r="F187" s="88"/>
      <c r="G187" s="88"/>
      <c r="I187" s="88"/>
    </row>
    <row r="188" spans="2:23" hidden="1" x14ac:dyDescent="0.2">
      <c r="B188" s="72" t="str">
        <f>IF(C133=1,"Ni fydd amcangyfrifon rhaniad 2 ddeiliadaeth yn ymddangos hyd nes bod y tabl uchod wedi'i gwblhau.",B187)</f>
        <v>Mae'r ffigurau isod yn rhannu'r amcangyfrifon o'r angen o ran tai yn De-ddwyrain Cymru yn ddwy ddeiliadaeth, ac maent wedi'i seilio ar y rhagdybiaethau canlynol.Mae amcangyfrifon sylfaenol yr unedau tai ychwanegol wedi'u seilio ar  amcanestyniadau aelwydydd gan Llywodraeth Cymru sy'n seiliedig ar 2014 (Prif Amcanestyniadau), ac amcangyfrif o 5645 aelwydydd o ran angen presennol nas diwallwyd  a fydd yn cymryd 5 mlynedd i'w diwallu.Mae data ar incwm yn seiliedig ar  Ddata Llywodraeth Cymru ac mae data ar renti preifat yn seiliedig ar  Ddata Llywodraeth Cymru. Mae'r newid blynyddol i incwm canolrifol yr aelwyd yn seiliedig ar amcangyfrifon wedi'u rhagosod, mae'r newid blynyddol i ddosbarthiad incwm yr aelwyd yn seiliedig ar amcangyfrifon wedi'u rhagosod ac mae'r newid blynyddol i brisiau rhenti yn seiliedig ar amcangyfrifon wedi'u rhagosod.</v>
      </c>
      <c r="C188" s="88"/>
      <c r="D188" s="88"/>
      <c r="E188" s="88"/>
      <c r="F188" s="88"/>
      <c r="G188" s="88"/>
      <c r="I188" s="88"/>
    </row>
    <row r="189" spans="2:23" hidden="1" x14ac:dyDescent="0.2">
      <c r="B189" s="72"/>
      <c r="C189" s="88"/>
      <c r="D189" s="88"/>
      <c r="E189" s="88"/>
      <c r="F189" s="88"/>
      <c r="G189" s="88"/>
      <c r="I189" s="88"/>
    </row>
    <row r="190" spans="2:23" hidden="1" x14ac:dyDescent="0.2">
      <c r="B190" s="72" t="s">
        <v>339</v>
      </c>
      <c r="C190" s="88"/>
      <c r="D190" s="88"/>
      <c r="E190" s="88"/>
      <c r="F190" s="88"/>
      <c r="G190" s="88"/>
      <c r="I190" s="88"/>
    </row>
    <row r="191" spans="2:23" hidden="1" x14ac:dyDescent="0.2">
      <c r="B191" s="73" t="e">
        <f>D169&amp;G169&amp;C173&amp;C183&amp;J169&amp;C179</f>
        <v>#VALUE!</v>
      </c>
      <c r="C191" s="88"/>
      <c r="D191" s="88"/>
      <c r="E191" s="88"/>
      <c r="F191" s="88"/>
      <c r="G191" s="88"/>
      <c r="I191" s="88"/>
    </row>
    <row r="192" spans="2:23" hidden="1" x14ac:dyDescent="0.2">
      <c r="B192" s="72" t="str">
        <f>IF(C145=1,"Ni fydd amcangyfrifon rhaniad 4 deiliadaeth yn ymddangos hyd nes bod y tabl uchod wedi'i gwblhau.",B191)</f>
        <v>Ni fydd amcangyfrifon rhaniad 4 deiliadaeth yn ymddangos hyd nes bod y tabl uchod wedi'i gwblhau.</v>
      </c>
      <c r="C192" s="88"/>
      <c r="D192" s="88"/>
      <c r="E192" s="88"/>
      <c r="F192" s="88"/>
      <c r="G192" s="88"/>
      <c r="I192" s="88"/>
    </row>
    <row r="193" spans="2:9" hidden="1" x14ac:dyDescent="0.2">
      <c r="C193" s="88"/>
      <c r="D193" s="88"/>
      <c r="E193" s="88"/>
      <c r="F193" s="88"/>
      <c r="G193" s="88"/>
      <c r="I193" s="88"/>
    </row>
    <row r="194" spans="2:9" hidden="1" x14ac:dyDescent="0.2">
      <c r="B194" s="73" t="s">
        <v>236</v>
      </c>
      <c r="I194" s="88"/>
    </row>
    <row r="195" spans="2:9" hidden="1" x14ac:dyDescent="0.2">
      <c r="B195" s="73" t="s">
        <v>203</v>
      </c>
      <c r="I195" s="88"/>
    </row>
    <row r="196" spans="2:9" hidden="1" x14ac:dyDescent="0.2">
      <c r="B196" s="73" t="s">
        <v>237</v>
      </c>
      <c r="I196" s="88"/>
    </row>
    <row r="197" spans="2:9" hidden="1" x14ac:dyDescent="0.2">
      <c r="B197" s="73" t="s">
        <v>204</v>
      </c>
      <c r="I197" s="88"/>
    </row>
    <row r="198" spans="2:9" hidden="1" x14ac:dyDescent="0.2">
      <c r="B198" s="75" t="str">
        <f>"'Amcanestyniadau o Aelwyd'"</f>
        <v>'Amcanestyniadau o Aelwyd'</v>
      </c>
      <c r="I198" s="88"/>
    </row>
    <row r="199" spans="2:9" hidden="1" x14ac:dyDescent="0.2">
      <c r="B199" s="73" t="str">
        <f>"'Angen Presennol Nas Diwallwyd'"</f>
        <v>'Angen Presennol Nas Diwallwyd'</v>
      </c>
      <c r="I199" s="88"/>
    </row>
    <row r="200" spans="2:9" hidden="1" x14ac:dyDescent="0.2">
      <c r="B200" s="73" t="str">
        <f>"'Incwm (De-ddwryain)'"</f>
        <v>'Incwm (De-ddwryain)'</v>
      </c>
      <c r="I200" s="88"/>
    </row>
    <row r="201" spans="2:9" hidden="1" x14ac:dyDescent="0.2">
      <c r="B201" s="73" t="str">
        <f>"'Prisiau Tai (De-ddwyrain)'"</f>
        <v>'Prisiau Tai (De-ddwyrain)'</v>
      </c>
      <c r="I201" s="88"/>
    </row>
    <row r="202" spans="2:9" hidden="1" x14ac:dyDescent="0.2">
      <c r="B202" s="73" t="str">
        <f>"'Prisiau Rhenti'"</f>
        <v>'Prisiau Rhenti'</v>
      </c>
      <c r="I202" s="88"/>
    </row>
    <row r="203" spans="2:9" hidden="1" x14ac:dyDescent="0.2">
      <c r="B203" s="73" t="str">
        <f>"'Rhagdybiaeth Blynyddol'"</f>
        <v>'Rhagdybiaeth Blynyddol'</v>
      </c>
      <c r="I203" s="88"/>
    </row>
    <row r="204" spans="2:9" hidden="1" x14ac:dyDescent="0.2">
      <c r="B204" s="73" t="str">
        <f>"'Rhagolygon y Dyfodol'"</f>
        <v>'Rhagolygon y Dyfodol'</v>
      </c>
      <c r="I204" s="88"/>
    </row>
    <row r="205" spans="2:9" x14ac:dyDescent="0.2">
      <c r="I205" s="88"/>
    </row>
    <row r="206" spans="2:9" x14ac:dyDescent="0.2">
      <c r="I206" s="88"/>
    </row>
    <row r="207" spans="2:9" x14ac:dyDescent="0.2">
      <c r="I207" s="88"/>
    </row>
  </sheetData>
  <sheetProtection sheet="1" objects="1" scenarios="1"/>
  <mergeCells count="34">
    <mergeCell ref="I162:J162"/>
    <mergeCell ref="I99:J99"/>
    <mergeCell ref="I61:J61"/>
    <mergeCell ref="B52:J53"/>
    <mergeCell ref="I101:J101"/>
    <mergeCell ref="I102:J102"/>
    <mergeCell ref="I103:J103"/>
    <mergeCell ref="I104:J104"/>
    <mergeCell ref="B66:J69"/>
    <mergeCell ref="F23:I23"/>
    <mergeCell ref="F25:I25"/>
    <mergeCell ref="B28:J32"/>
    <mergeCell ref="I62:J62"/>
    <mergeCell ref="I63:J63"/>
    <mergeCell ref="B17:B25"/>
    <mergeCell ref="F17:I17"/>
    <mergeCell ref="F18:I18"/>
    <mergeCell ref="F20:I20"/>
    <mergeCell ref="F21:I21"/>
    <mergeCell ref="F22:I22"/>
    <mergeCell ref="B1:C1"/>
    <mergeCell ref="F4:I4"/>
    <mergeCell ref="B5:B16"/>
    <mergeCell ref="F5:I5"/>
    <mergeCell ref="F6:I6"/>
    <mergeCell ref="F7:I7"/>
    <mergeCell ref="F8:I8"/>
    <mergeCell ref="F9:I9"/>
    <mergeCell ref="F11:I11"/>
    <mergeCell ref="B2:I2"/>
    <mergeCell ref="F12:I12"/>
    <mergeCell ref="F14:I14"/>
    <mergeCell ref="F15:I15"/>
    <mergeCell ref="F16:I16"/>
  </mergeCells>
  <conditionalFormatting sqref="E7:E9 E11:E12 E14:E16 E25:E27 E18 E20:E23">
    <cfRule type="expression" dxfId="5" priority="6">
      <formula>E7="Y"</formula>
    </cfRule>
  </conditionalFormatting>
  <conditionalFormatting sqref="E7:E12 E14:E16 E18 E20:E27">
    <cfRule type="expression" dxfId="4" priority="5">
      <formula>E7="N"</formula>
    </cfRule>
  </conditionalFormatting>
  <conditionalFormatting sqref="E13">
    <cfRule type="expression" dxfId="3" priority="4">
      <formula>E13="N"</formula>
    </cfRule>
  </conditionalFormatting>
  <conditionalFormatting sqref="E19">
    <cfRule type="expression" dxfId="2" priority="3">
      <formula>E19="N"</formula>
    </cfRule>
  </conditionalFormatting>
  <conditionalFormatting sqref="E6">
    <cfRule type="expression" dxfId="1" priority="2">
      <formula>E6="Y"</formula>
    </cfRule>
  </conditionalFormatting>
  <conditionalFormatting sqref="E6">
    <cfRule type="expression" dxfId="0" priority="1">
      <formula>E6="N"</formula>
    </cfRule>
  </conditionalFormatting>
  <pageMargins left="0.7" right="0.7" top="0.75" bottom="0.75" header="0.3" footer="0.3"/>
  <pageSetup paperSize="9" scale="35" orientation="portrait" horizontalDpi="300"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tabColor theme="5"/>
    <pageSetUpPr fitToPage="1"/>
  </sheetPr>
  <dimension ref="B1:P62"/>
  <sheetViews>
    <sheetView showGridLines="0" workbookViewId="0"/>
  </sheetViews>
  <sheetFormatPr defaultColWidth="9.140625" defaultRowHeight="15" x14ac:dyDescent="0.25"/>
  <cols>
    <col min="1" max="1" width="1.7109375" style="1" customWidth="1"/>
    <col min="2" max="2" width="63.85546875" style="1" customWidth="1"/>
    <col min="3" max="7" width="11.5703125" style="1" bestFit="1" customWidth="1"/>
    <col min="8" max="8" width="9.140625" style="1"/>
    <col min="9" max="9" width="9.140625" style="13"/>
    <col min="10" max="16384" width="9.140625" style="1"/>
  </cols>
  <sheetData>
    <row r="1" spans="2:9" ht="21" x14ac:dyDescent="0.35">
      <c r="B1" s="123" t="s">
        <v>117</v>
      </c>
    </row>
    <row r="3" spans="2:9" ht="15" customHeight="1" x14ac:dyDescent="0.25">
      <c r="B3" s="390" t="s">
        <v>176</v>
      </c>
      <c r="C3" s="391"/>
      <c r="D3" s="391"/>
      <c r="E3" s="391"/>
      <c r="F3" s="391"/>
      <c r="G3" s="392"/>
      <c r="H3" s="154"/>
      <c r="I3" s="154"/>
    </row>
    <row r="4" spans="2:9" x14ac:dyDescent="0.25">
      <c r="B4" s="393"/>
      <c r="C4" s="394"/>
      <c r="D4" s="394"/>
      <c r="E4" s="394"/>
      <c r="F4" s="394"/>
      <c r="G4" s="395"/>
      <c r="H4" s="154"/>
      <c r="I4" s="154"/>
    </row>
    <row r="5" spans="2:9" x14ac:dyDescent="0.25">
      <c r="B5" s="393"/>
      <c r="C5" s="394"/>
      <c r="D5" s="394"/>
      <c r="E5" s="394"/>
      <c r="F5" s="394"/>
      <c r="G5" s="395"/>
      <c r="H5" s="154"/>
      <c r="I5" s="154"/>
    </row>
    <row r="6" spans="2:9" x14ac:dyDescent="0.25">
      <c r="B6" s="396"/>
      <c r="C6" s="397"/>
      <c r="D6" s="397"/>
      <c r="E6" s="397"/>
      <c r="F6" s="397"/>
      <c r="G6" s="398"/>
      <c r="H6" s="184"/>
      <c r="I6" s="184"/>
    </row>
    <row r="7" spans="2:9" x14ac:dyDescent="0.25">
      <c r="B7" s="184"/>
      <c r="C7" s="184"/>
      <c r="D7" s="184"/>
      <c r="E7" s="184"/>
      <c r="F7" s="184"/>
      <c r="G7" s="184"/>
      <c r="H7" s="184"/>
      <c r="I7" s="184"/>
    </row>
    <row r="8" spans="2:9" ht="18.75" x14ac:dyDescent="0.3">
      <c r="B8" s="197" t="s">
        <v>177</v>
      </c>
      <c r="C8" s="207"/>
      <c r="D8" s="207"/>
      <c r="E8" s="207"/>
      <c r="F8" s="207"/>
      <c r="G8" s="208"/>
      <c r="H8" s="184"/>
      <c r="I8" s="184"/>
    </row>
    <row r="9" spans="2:9" ht="18.75" x14ac:dyDescent="0.3">
      <c r="B9" s="244"/>
      <c r="C9" s="184">
        <v>1</v>
      </c>
      <c r="D9" s="184">
        <v>2</v>
      </c>
      <c r="E9" s="184">
        <v>3</v>
      </c>
      <c r="F9" s="184">
        <v>4</v>
      </c>
      <c r="G9" s="243">
        <v>5</v>
      </c>
      <c r="H9" s="184"/>
      <c r="I9" s="184"/>
    </row>
    <row r="10" spans="2:9" x14ac:dyDescent="0.25">
      <c r="B10" s="20"/>
      <c r="C10" s="209" t="s">
        <v>0</v>
      </c>
      <c r="D10" s="209" t="s">
        <v>1</v>
      </c>
      <c r="E10" s="209" t="s">
        <v>2</v>
      </c>
      <c r="F10" s="209" t="s">
        <v>3</v>
      </c>
      <c r="G10" s="210" t="s">
        <v>4</v>
      </c>
    </row>
    <row r="11" spans="2:9" x14ac:dyDescent="0.25">
      <c r="B11" s="20" t="s">
        <v>142</v>
      </c>
      <c r="C11" s="21">
        <f t="array" ref="C11">INDEX('Angen Sydd Newydd Ymddangos'!D8:D31,MATCH(1,($B$1='Angen Sydd Newydd Ymddangos'!$C$8:$C$31)*('Rhaniad y Ddeiliadaeth (Cymru)'!$D$6='Angen Sydd Newydd Ymddangos'!$B$8:$B$31),0))</f>
        <v>7219</v>
      </c>
      <c r="D11" s="21">
        <f t="array" ref="D11">INDEX('Angen Sydd Newydd Ymddangos'!E8:E31,MATCH(1,($B$1='Angen Sydd Newydd Ymddangos'!$C$8:$C$31)*('Rhaniad y Ddeiliadaeth (Cymru)'!$D$6='Angen Sydd Newydd Ymddangos'!$B$8:$B$31),0))</f>
        <v>6965</v>
      </c>
      <c r="E11" s="21">
        <f t="array" ref="E11">INDEX('Angen Sydd Newydd Ymddangos'!F8:F31,MATCH(1,($B$1='Angen Sydd Newydd Ymddangos'!$C$8:$C$31)*('Rhaniad y Ddeiliadaeth (Cymru)'!$D$6='Angen Sydd Newydd Ymddangos'!$B$8:$B$31),0))</f>
        <v>7029</v>
      </c>
      <c r="F11" s="21">
        <f t="array" ref="F11">INDEX('Angen Sydd Newydd Ymddangos'!G8:G31,MATCH(1,($B$1='Angen Sydd Newydd Ymddangos'!$C$8:$C$31)*('Rhaniad y Ddeiliadaeth (Cymru)'!$D$6='Angen Sydd Newydd Ymddangos'!$B$8:$B$31),0))</f>
        <v>7496</v>
      </c>
      <c r="G11" s="22">
        <f t="array" ref="G11">INDEX('Angen Sydd Newydd Ymddangos'!H8:H31,MATCH(1,($B$1='Angen Sydd Newydd Ymddangos'!$C$8:$C$31)*('Rhaniad y Ddeiliadaeth (Cymru)'!$D$6='Angen Sydd Newydd Ymddangos'!$B$8:$B$31),0))</f>
        <v>7118</v>
      </c>
    </row>
    <row r="12" spans="2:9" x14ac:dyDescent="0.25">
      <c r="B12" s="20" t="s">
        <v>151</v>
      </c>
      <c r="C12" s="21">
        <f>IF('Angen Presennol Nas Diwallwyd'!$C$28&gt;='Cyfrifiadau - Cymru'!C9,IF(('Rhaniad y Ddeiliadaeth (Cymru)'!$D$7="Amcangyfrifon LlC"),'Angen Presennol Nas Diwallwyd'!$C$12/'Angen Presennol Nas Diwallwyd'!$C$28,'Angen Presennol Nas Diwallwyd'!$C$21/'Angen Presennol Nas Diwallwyd'!$C$28),0)</f>
        <v>1129</v>
      </c>
      <c r="D12" s="21">
        <f>IF('Angen Presennol Nas Diwallwyd'!$C$28&gt;='Cyfrifiadau - Cymru'!D9,IF(('Rhaniad y Ddeiliadaeth (Cymru)'!$D$7="Amcangyfrifon LlC"),'Angen Presennol Nas Diwallwyd'!$C$12/'Angen Presennol Nas Diwallwyd'!$C$28,'Angen Presennol Nas Diwallwyd'!$C$21/'Angen Presennol Nas Diwallwyd'!$C$28),0)</f>
        <v>1129</v>
      </c>
      <c r="E12" s="21">
        <f>IF('Angen Presennol Nas Diwallwyd'!$C$28&gt;='Cyfrifiadau - Cymru'!E9,IF(('Rhaniad y Ddeiliadaeth (Cymru)'!$D$7="Amcangyfrifon LlC"),'Angen Presennol Nas Diwallwyd'!$C$12/'Angen Presennol Nas Diwallwyd'!$C$28,'Angen Presennol Nas Diwallwyd'!$C$21/'Angen Presennol Nas Diwallwyd'!$C$28),0)</f>
        <v>1129</v>
      </c>
      <c r="F12" s="21">
        <f>IF('Angen Presennol Nas Diwallwyd'!$C$28&gt;='Cyfrifiadau - Cymru'!F9,IF(('Rhaniad y Ddeiliadaeth (Cymru)'!$D$7="Amcangyfrifon LlC"),'Angen Presennol Nas Diwallwyd'!$C$12/'Angen Presennol Nas Diwallwyd'!$C$28,'Angen Presennol Nas Diwallwyd'!$C$21/'Angen Presennol Nas Diwallwyd'!$C$28),0)</f>
        <v>1129</v>
      </c>
      <c r="G12" s="22">
        <f>IF('Angen Presennol Nas Diwallwyd'!$C$28&gt;='Cyfrifiadau - Cymru'!G9,IF(('Rhaniad y Ddeiliadaeth (Cymru)'!$D$7="Amcangyfrifon LlC"),'Angen Presennol Nas Diwallwyd'!$C$12/'Angen Presennol Nas Diwallwyd'!$C$28,'Angen Presennol Nas Diwallwyd'!$C$21/'Angen Presennol Nas Diwallwyd'!$C$28),0)</f>
        <v>1129</v>
      </c>
    </row>
    <row r="13" spans="2:9" x14ac:dyDescent="0.25">
      <c r="B13" s="23" t="s">
        <v>152</v>
      </c>
      <c r="C13" s="211">
        <f>SUM(C11:C12)</f>
        <v>8348</v>
      </c>
      <c r="D13" s="211">
        <f>SUM(D11:D12)</f>
        <v>8094</v>
      </c>
      <c r="E13" s="211">
        <f>SUM(E11:E12)</f>
        <v>8158</v>
      </c>
      <c r="F13" s="211">
        <f>SUM(F11:F12)</f>
        <v>8625</v>
      </c>
      <c r="G13" s="212">
        <f>SUM(G11:G12)</f>
        <v>8247</v>
      </c>
    </row>
    <row r="14" spans="2:9" x14ac:dyDescent="0.25">
      <c r="C14" s="2"/>
      <c r="D14" s="2"/>
      <c r="E14" s="2"/>
      <c r="F14" s="2"/>
      <c r="G14" s="2"/>
    </row>
    <row r="15" spans="2:9" ht="18.75" x14ac:dyDescent="0.3">
      <c r="B15" s="197" t="s">
        <v>178</v>
      </c>
      <c r="C15" s="198"/>
      <c r="D15" s="198"/>
      <c r="E15" s="198"/>
      <c r="F15" s="198"/>
      <c r="G15" s="199"/>
    </row>
    <row r="16" spans="2:9" x14ac:dyDescent="0.25">
      <c r="B16" s="20"/>
      <c r="C16" s="12"/>
      <c r="D16" s="12"/>
      <c r="E16" s="12"/>
      <c r="F16" s="12"/>
      <c r="G16" s="186"/>
    </row>
    <row r="17" spans="2:16" x14ac:dyDescent="0.25">
      <c r="B17" s="187" t="s">
        <v>180</v>
      </c>
      <c r="C17" s="12"/>
      <c r="D17" s="12"/>
      <c r="E17" s="12"/>
      <c r="F17" s="12"/>
      <c r="G17" s="186"/>
    </row>
    <row r="18" spans="2:16" x14ac:dyDescent="0.25">
      <c r="B18" s="20" t="s">
        <v>179</v>
      </c>
      <c r="C18" s="57">
        <f>'Rhaniad y Ddeiliadaeth (Cymru)'!C112</f>
        <v>6483.116622487516</v>
      </c>
      <c r="D18" s="57">
        <f>'Rhaniad y Ddeiliadaeth (Cymru)'!D112</f>
        <v>6674.6035041100695</v>
      </c>
      <c r="E18" s="57">
        <f>'Rhaniad y Ddeiliadaeth (Cymru)'!E112</f>
        <v>6878.8525368394376</v>
      </c>
      <c r="F18" s="57">
        <f>'Rhaniad y Ddeiliadaeth (Cymru)'!F112</f>
        <v>7093.5580935881617</v>
      </c>
      <c r="G18" s="58">
        <f>'Rhaniad y Ddeiliadaeth (Cymru)'!G112</f>
        <v>7318.5405717943022</v>
      </c>
    </row>
    <row r="19" spans="2:16" x14ac:dyDescent="0.25">
      <c r="B19" s="20" t="s">
        <v>181</v>
      </c>
      <c r="C19" s="57">
        <f>C18/'Rhaniad y Ddeiliadaeth (Cymru)'!C108</f>
        <v>21610.388741625055</v>
      </c>
      <c r="D19" s="57">
        <f>D18/'Rhaniad y Ddeiliadaeth (Cymru)'!D108</f>
        <v>22248.678347033565</v>
      </c>
      <c r="E19" s="57">
        <f>E18/'Rhaniad y Ddeiliadaeth (Cymru)'!E108</f>
        <v>22929.508456131458</v>
      </c>
      <c r="F19" s="57">
        <f>F18/'Rhaniad y Ddeiliadaeth (Cymru)'!F108</f>
        <v>23645.193645293872</v>
      </c>
      <c r="G19" s="58">
        <f>G18/'Rhaniad y Ddeiliadaeth (Cymru)'!G108</f>
        <v>24395.135239314342</v>
      </c>
    </row>
    <row r="20" spans="2:16" x14ac:dyDescent="0.25">
      <c r="B20" s="20" t="s">
        <v>182</v>
      </c>
      <c r="C20" s="12">
        <f>IFERROR(INDEX('Incwm (Cymru)'!$AB$4:$AB$84,MATCH('Cyfrifiadau - Cymru'!C19,'Incwm (Cymru)'!AC$4:AC$84,1)),10)</f>
        <v>38</v>
      </c>
      <c r="D20" s="12">
        <f>IFERROR(INDEX('Incwm (Cymru)'!$AB$4:$AB$84,MATCH('Cyfrifiadau - Cymru'!D19,'Incwm (Cymru)'!AD$4:AD$84,1)),10)</f>
        <v>39</v>
      </c>
      <c r="E20" s="12">
        <f>IFERROR(INDEX('Incwm (Cymru)'!$AB$4:$AB$84,MATCH('Cyfrifiadau - Cymru'!E19,'Incwm (Cymru)'!AE$4:AE$84,1)),10)</f>
        <v>39</v>
      </c>
      <c r="F20" s="12">
        <f>IFERROR(INDEX('Incwm (Cymru)'!$AB$4:$AB$84,MATCH('Cyfrifiadau - Cymru'!F19,'Incwm (Cymru)'!AF$4:AF$84,1)),10)</f>
        <v>39</v>
      </c>
      <c r="G20" s="186">
        <f>IFERROR(INDEX('Incwm (Cymru)'!$AB$4:$AB$84,MATCH('Cyfrifiadau - Cymru'!G19,'Incwm (Cymru)'!AG$4:AG$84,1)),10)</f>
        <v>38</v>
      </c>
      <c r="P20" s="13"/>
    </row>
    <row r="21" spans="2:16" x14ac:dyDescent="0.25">
      <c r="B21" s="20" t="s">
        <v>255</v>
      </c>
      <c r="C21" s="200">
        <f>(100-C20)/100</f>
        <v>0.62</v>
      </c>
      <c r="D21" s="200">
        <f t="shared" ref="D21:G21" si="0">(100-D20)/100</f>
        <v>0.61</v>
      </c>
      <c r="E21" s="200">
        <f t="shared" si="0"/>
        <v>0.61</v>
      </c>
      <c r="F21" s="200">
        <f t="shared" si="0"/>
        <v>0.61</v>
      </c>
      <c r="G21" s="201">
        <f t="shared" si="0"/>
        <v>0.62</v>
      </c>
    </row>
    <row r="22" spans="2:16" ht="30" x14ac:dyDescent="0.25">
      <c r="B22" s="259" t="s">
        <v>254</v>
      </c>
      <c r="C22" s="202">
        <f>C21*C11</f>
        <v>4475.78</v>
      </c>
      <c r="D22" s="202">
        <f>D21*D11</f>
        <v>4248.6499999999996</v>
      </c>
      <c r="E22" s="202">
        <f>E21*E11</f>
        <v>4287.6899999999996</v>
      </c>
      <c r="F22" s="202">
        <f>F21*F11</f>
        <v>4572.5599999999995</v>
      </c>
      <c r="G22" s="203">
        <f>G21*G11</f>
        <v>4413.16</v>
      </c>
    </row>
    <row r="23" spans="2:16" x14ac:dyDescent="0.25">
      <c r="B23" s="20"/>
      <c r="C23" s="12"/>
      <c r="D23" s="12"/>
      <c r="E23" s="12"/>
      <c r="F23" s="12"/>
      <c r="G23" s="186"/>
    </row>
    <row r="24" spans="2:16" x14ac:dyDescent="0.25">
      <c r="B24" s="20"/>
      <c r="C24" s="202"/>
      <c r="D24" s="202"/>
      <c r="E24" s="202"/>
      <c r="F24" s="202"/>
      <c r="G24" s="203"/>
    </row>
    <row r="25" spans="2:16" x14ac:dyDescent="0.25">
      <c r="B25" s="187" t="s">
        <v>184</v>
      </c>
      <c r="C25" s="202"/>
      <c r="D25" s="202"/>
      <c r="E25" s="202"/>
      <c r="F25" s="202"/>
      <c r="G25" s="203"/>
    </row>
    <row r="26" spans="2:16" x14ac:dyDescent="0.25">
      <c r="B26" s="20" t="s">
        <v>253</v>
      </c>
      <c r="C26" s="202">
        <f>C13-C22</f>
        <v>3872.2200000000003</v>
      </c>
      <c r="D26" s="202">
        <f t="shared" ref="D26:G26" si="1">D13-D22</f>
        <v>3845.3500000000004</v>
      </c>
      <c r="E26" s="202">
        <f t="shared" si="1"/>
        <v>3870.3100000000004</v>
      </c>
      <c r="F26" s="202">
        <f t="shared" si="1"/>
        <v>4052.4400000000005</v>
      </c>
      <c r="G26" s="203">
        <f t="shared" si="1"/>
        <v>3833.84</v>
      </c>
    </row>
    <row r="27" spans="2:16" x14ac:dyDescent="0.25">
      <c r="B27" s="20"/>
      <c r="C27" s="202"/>
      <c r="D27" s="202"/>
      <c r="E27" s="202"/>
      <c r="F27" s="202"/>
      <c r="G27" s="203"/>
    </row>
    <row r="28" spans="2:16" x14ac:dyDescent="0.25">
      <c r="B28" s="187" t="s">
        <v>185</v>
      </c>
      <c r="C28" s="12"/>
      <c r="D28" s="12"/>
      <c r="E28" s="12"/>
      <c r="F28" s="12"/>
      <c r="G28" s="186"/>
    </row>
    <row r="29" spans="2:16" x14ac:dyDescent="0.25">
      <c r="B29" s="20" t="s">
        <v>186</v>
      </c>
      <c r="C29" s="21">
        <f>C22</f>
        <v>4475.78</v>
      </c>
      <c r="D29" s="21">
        <f>D22</f>
        <v>4248.6499999999996</v>
      </c>
      <c r="E29" s="21">
        <f>E22</f>
        <v>4287.6899999999996</v>
      </c>
      <c r="F29" s="21">
        <f>F22</f>
        <v>4572.5599999999995</v>
      </c>
      <c r="G29" s="22">
        <f>G22</f>
        <v>4413.16</v>
      </c>
    </row>
    <row r="30" spans="2:16" x14ac:dyDescent="0.25">
      <c r="B30" s="23" t="s">
        <v>184</v>
      </c>
      <c r="C30" s="25">
        <f>C26</f>
        <v>3872.2200000000003</v>
      </c>
      <c r="D30" s="25">
        <f>D26</f>
        <v>3845.3500000000004</v>
      </c>
      <c r="E30" s="25">
        <f>E26</f>
        <v>3870.3100000000004</v>
      </c>
      <c r="F30" s="25">
        <f>F26</f>
        <v>4052.4400000000005</v>
      </c>
      <c r="G30" s="26">
        <f>G26</f>
        <v>3833.84</v>
      </c>
    </row>
    <row r="31" spans="2:16" x14ac:dyDescent="0.25">
      <c r="C31" s="6"/>
      <c r="D31" s="6"/>
      <c r="E31" s="6"/>
      <c r="F31" s="6"/>
      <c r="G31" s="6"/>
    </row>
    <row r="32" spans="2:16" ht="18.75" x14ac:dyDescent="0.3">
      <c r="B32" s="197" t="s">
        <v>187</v>
      </c>
      <c r="C32" s="17"/>
      <c r="D32" s="17"/>
      <c r="E32" s="17"/>
      <c r="F32" s="17"/>
      <c r="G32" s="185"/>
    </row>
    <row r="33" spans="2:16" ht="21" customHeight="1" x14ac:dyDescent="0.25">
      <c r="B33" s="387" t="s">
        <v>188</v>
      </c>
      <c r="C33" s="388"/>
      <c r="D33" s="388"/>
      <c r="E33" s="388"/>
      <c r="F33" s="388"/>
      <c r="G33" s="389"/>
      <c r="H33" s="76"/>
      <c r="I33" s="76"/>
    </row>
    <row r="34" spans="2:16" x14ac:dyDescent="0.25">
      <c r="B34" s="20"/>
      <c r="C34" s="12"/>
      <c r="D34" s="12"/>
      <c r="E34" s="12"/>
      <c r="F34" s="12"/>
      <c r="G34" s="186"/>
    </row>
    <row r="35" spans="2:16" x14ac:dyDescent="0.25">
      <c r="B35" s="187" t="s">
        <v>189</v>
      </c>
      <c r="C35" s="12"/>
      <c r="D35" s="12"/>
      <c r="E35" s="12"/>
      <c r="F35" s="12"/>
      <c r="G35" s="186"/>
      <c r="P35" s="13"/>
    </row>
    <row r="36" spans="2:16" x14ac:dyDescent="0.25">
      <c r="B36" s="20" t="str">
        <f>"Canradd y Prynwyr sy'n Prynu Eiddo am y Tro Cyntaf: "&amp;'Rhaniad y Ddeiliadaeth (Cymru)'!C115</f>
        <v>Canradd y Prynwyr sy'n Prynu Eiddo am y Tro Cyntaf: 25</v>
      </c>
      <c r="C36" s="57">
        <f>INDEX('Prisiau Tai (Cymru)'!AC$4:AC$84,MATCH('Rhaniad y Ddeiliadaeth (Cymru)'!C115,'Prisiau Tai (Cymru)'!$AB$4:$AB$84,0))</f>
        <v>111067.8032116542</v>
      </c>
      <c r="D36" s="57">
        <f>INDEX('Prisiau Tai (Cymru)'!AD$4:AD$84,MATCH('Rhaniad y Ddeiliadaeth (Cymru)'!D115,'Prisiau Tai (Cymru)'!$AB$4:$AB$84,0))</f>
        <v>111315.10175559217</v>
      </c>
      <c r="E36" s="57">
        <f>INDEX('Prisiau Tai (Cymru)'!AE$4:AE$84,MATCH('Rhaniad y Ddeiliadaeth (Cymru)'!E115,'Prisiau Tai (Cymru)'!$AB$4:$AB$84,0))</f>
        <v>113711.09030868714</v>
      </c>
      <c r="F36" s="57">
        <f>INDEX('Prisiau Tai (Cymru)'!AF$4:AF$84,MATCH('Rhaniad y Ddeiliadaeth (Cymru)'!F115,'Prisiau Tai (Cymru)'!$AB$4:$AB$84,0))</f>
        <v>118145.7282823494</v>
      </c>
      <c r="G36" s="58">
        <f>INDEX('Prisiau Tai (Cymru)'!AG$4:AG$84,MATCH('Rhaniad y Ddeiliadaeth (Cymru)'!G115,'Prisiau Tai (Cymru)'!$AB$4:$AB$84,0))</f>
        <v>123046.4041008933</v>
      </c>
      <c r="P36" s="13"/>
    </row>
    <row r="37" spans="2:16" x14ac:dyDescent="0.25">
      <c r="B37" s="20" t="s">
        <v>181</v>
      </c>
      <c r="C37" s="57">
        <f>C36/'Rhaniad y Ddeiliadaeth (Cymru)'!C114</f>
        <v>29228.369266224792</v>
      </c>
      <c r="D37" s="57">
        <f>D36/'Rhaniad y Ddeiliadaeth (Cymru)'!D114</f>
        <v>29293.447830418994</v>
      </c>
      <c r="E37" s="57">
        <f>E36/'Rhaniad y Ddeiliadaeth (Cymru)'!E114</f>
        <v>29923.971133865038</v>
      </c>
      <c r="F37" s="57">
        <f>F36/'Rhaniad y Ddeiliadaeth (Cymru)'!F114</f>
        <v>31090.981126934053</v>
      </c>
      <c r="G37" s="58">
        <f>G36/'Rhaniad y Ddeiliadaeth (Cymru)'!G114</f>
        <v>32380.632658129816</v>
      </c>
      <c r="P37" s="13"/>
    </row>
    <row r="38" spans="2:16" x14ac:dyDescent="0.25">
      <c r="B38" s="20" t="s">
        <v>182</v>
      </c>
      <c r="C38" s="12">
        <f>IFERROR(INDEX('Incwm (Cymru)'!$AB$4:$AB$84,MATCH('Cyfrifiadau - Cymru'!C37,'Incwm (Cymru)'!AC$4:AC$84,1)),10)</f>
        <v>54</v>
      </c>
      <c r="D38" s="12">
        <f>IFERROR(INDEX('Incwm (Cymru)'!$AB$4:$AB$84,MATCH('Cyfrifiadau - Cymru'!D37,'Incwm (Cymru)'!AD$4:AD$84,1)),10)</f>
        <v>53</v>
      </c>
      <c r="E38" s="12">
        <f>IFERROR(INDEX('Incwm (Cymru)'!$AB$4:$AB$84,MATCH('Cyfrifiadau - Cymru'!E37,'Incwm (Cymru)'!AE$4:AE$84,1)),10)</f>
        <v>53</v>
      </c>
      <c r="F38" s="12">
        <f>IFERROR(INDEX('Incwm (Cymru)'!$AB$4:$AB$84,MATCH('Cyfrifiadau - Cymru'!F37,'Incwm (Cymru)'!AF$4:AF$84,1)),10)</f>
        <v>53</v>
      </c>
      <c r="G38" s="186">
        <f>IFERROR(INDEX('Incwm (Cymru)'!$AB$4:$AB$84,MATCH('Cyfrifiadau - Cymru'!G37,'Incwm (Cymru)'!AG$4:AG$84,1)),10)</f>
        <v>53</v>
      </c>
      <c r="P38" s="13"/>
    </row>
    <row r="39" spans="2:16" x14ac:dyDescent="0.25">
      <c r="B39" s="20" t="s">
        <v>183</v>
      </c>
      <c r="C39" s="200">
        <f>(100-C38)/100</f>
        <v>0.46</v>
      </c>
      <c r="D39" s="200">
        <f t="shared" ref="D39:G39" si="2">(100-D38)/100</f>
        <v>0.47</v>
      </c>
      <c r="E39" s="200">
        <f t="shared" si="2"/>
        <v>0.47</v>
      </c>
      <c r="F39" s="200">
        <f t="shared" si="2"/>
        <v>0.47</v>
      </c>
      <c r="G39" s="201">
        <f t="shared" si="2"/>
        <v>0.47</v>
      </c>
      <c r="P39" s="13"/>
    </row>
    <row r="40" spans="2:16" x14ac:dyDescent="0.25">
      <c r="B40" s="20" t="s">
        <v>256</v>
      </c>
      <c r="C40" s="200" t="e">
        <f>C39*'Rhaniad y Ddeiliadaeth (Cymru)'!C116</f>
        <v>#VALUE!</v>
      </c>
      <c r="D40" s="200" t="e">
        <f>D39*'Rhaniad y Ddeiliadaeth (Cymru)'!D116</f>
        <v>#VALUE!</v>
      </c>
      <c r="E40" s="200" t="e">
        <f>E39*'Rhaniad y Ddeiliadaeth (Cymru)'!E116</f>
        <v>#VALUE!</v>
      </c>
      <c r="F40" s="200" t="e">
        <f>F39*'Rhaniad y Ddeiliadaeth (Cymru)'!F116</f>
        <v>#VALUE!</v>
      </c>
      <c r="G40" s="201" t="e">
        <f>G39*'Rhaniad y Ddeiliadaeth (Cymru)'!G116</f>
        <v>#VALUE!</v>
      </c>
      <c r="P40" s="13"/>
    </row>
    <row r="41" spans="2:16" x14ac:dyDescent="0.25">
      <c r="B41" s="20" t="s">
        <v>189</v>
      </c>
      <c r="C41" s="204" t="e">
        <f>C40*C11</f>
        <v>#VALUE!</v>
      </c>
      <c r="D41" s="204" t="e">
        <f>D40*D11</f>
        <v>#VALUE!</v>
      </c>
      <c r="E41" s="204" t="e">
        <f>E40*E11</f>
        <v>#VALUE!</v>
      </c>
      <c r="F41" s="204" t="e">
        <f>F40*F11</f>
        <v>#VALUE!</v>
      </c>
      <c r="G41" s="205" t="e">
        <f>G40*G11</f>
        <v>#VALUE!</v>
      </c>
      <c r="P41" s="13"/>
    </row>
    <row r="42" spans="2:16" x14ac:dyDescent="0.25">
      <c r="B42" s="20"/>
      <c r="C42" s="204"/>
      <c r="D42" s="204"/>
      <c r="E42" s="204"/>
      <c r="F42" s="204"/>
      <c r="G42" s="205"/>
      <c r="P42" s="13"/>
    </row>
    <row r="43" spans="2:16" x14ac:dyDescent="0.25">
      <c r="B43" s="187" t="s">
        <v>190</v>
      </c>
      <c r="C43" s="204"/>
      <c r="D43" s="204"/>
      <c r="E43" s="204"/>
      <c r="F43" s="204"/>
      <c r="G43" s="205"/>
      <c r="P43" s="13"/>
    </row>
    <row r="44" spans="2:16" ht="30" x14ac:dyDescent="0.25">
      <c r="B44" s="266" t="s">
        <v>257</v>
      </c>
      <c r="C44" s="21" t="e">
        <f>C22-C41</f>
        <v>#VALUE!</v>
      </c>
      <c r="D44" s="21" t="e">
        <f>D22-D41</f>
        <v>#VALUE!</v>
      </c>
      <c r="E44" s="21" t="e">
        <f>E22-E41</f>
        <v>#VALUE!</v>
      </c>
      <c r="F44" s="21" t="e">
        <f>F22-F41</f>
        <v>#VALUE!</v>
      </c>
      <c r="G44" s="22" t="e">
        <f>G22-G41</f>
        <v>#VALUE!</v>
      </c>
      <c r="P44" s="13"/>
    </row>
    <row r="45" spans="2:16" x14ac:dyDescent="0.25">
      <c r="B45" s="20"/>
      <c r="C45" s="21"/>
      <c r="D45" s="21"/>
      <c r="E45" s="21"/>
      <c r="F45" s="21"/>
      <c r="G45" s="22"/>
    </row>
    <row r="46" spans="2:16" x14ac:dyDescent="0.25">
      <c r="B46" s="187" t="s">
        <v>191</v>
      </c>
      <c r="C46" s="12"/>
      <c r="D46" s="12"/>
      <c r="E46" s="12"/>
      <c r="F46" s="12"/>
      <c r="G46" s="186"/>
    </row>
    <row r="47" spans="2:16" x14ac:dyDescent="0.25">
      <c r="B47" s="20" t="s">
        <v>258</v>
      </c>
      <c r="C47" s="57">
        <f>'Rhaniad y Ddeiliadaeth (Cymru)'!C113</f>
        <v>5865.6769441553715</v>
      </c>
      <c r="D47" s="57">
        <f>'Rhaniad y Ddeiliadaeth (Cymru)'!D113</f>
        <v>6038.9269799091098</v>
      </c>
      <c r="E47" s="57">
        <f>'Rhaniad y Ddeiliadaeth (Cymru)'!E113</f>
        <v>6223.7237238071093</v>
      </c>
      <c r="F47" s="57">
        <f>'Rhaniad y Ddeiliadaeth (Cymru)'!F113</f>
        <v>6417.9811322940495</v>
      </c>
      <c r="G47" s="58">
        <f>'Rhaniad y Ddeiliadaeth (Cymru)'!G113</f>
        <v>6621.5367078138906</v>
      </c>
    </row>
    <row r="48" spans="2:16" x14ac:dyDescent="0.25">
      <c r="B48" s="20" t="s">
        <v>198</v>
      </c>
      <c r="C48" s="57">
        <f>C47/'Rhaniad y Ddeiliadaeth (Cymru)'!C117</f>
        <v>16759.076983301064</v>
      </c>
      <c r="D48" s="57">
        <f>D47/'Rhaniad y Ddeiliadaeth (Cymru)'!D117</f>
        <v>17254.077085454599</v>
      </c>
      <c r="E48" s="57">
        <f>E47/'Rhaniad y Ddeiliadaeth (Cymru)'!E117</f>
        <v>17782.067782306029</v>
      </c>
      <c r="F48" s="57">
        <f>F47/'Rhaniad y Ddeiliadaeth (Cymru)'!F117</f>
        <v>18337.088949411573</v>
      </c>
      <c r="G48" s="58">
        <f>G47/'Rhaniad y Ddeiliadaeth (Cymru)'!G117</f>
        <v>18918.676308039689</v>
      </c>
    </row>
    <row r="49" spans="2:7" x14ac:dyDescent="0.25">
      <c r="B49" s="20" t="s">
        <v>182</v>
      </c>
      <c r="C49" s="12">
        <f>IFERROR(INDEX('Incwm (Cymru)'!$AB$4:$AB$84,MATCH('Cyfrifiadau - Cymru'!C48,'Incwm (Cymru)'!AC$4:AC$84,1)),10)</f>
        <v>26</v>
      </c>
      <c r="D49" s="12">
        <f>IFERROR(INDEX('Incwm (Cymru)'!$AB$4:$AB$84,MATCH('Cyfrifiadau - Cymru'!D48,'Incwm (Cymru)'!AD$4:AD$84,1)),10)</f>
        <v>27</v>
      </c>
      <c r="E49" s="12">
        <f>IFERROR(INDEX('Incwm (Cymru)'!$AB$4:$AB$84,MATCH('Cyfrifiadau - Cymru'!E48,'Incwm (Cymru)'!AE$4:AE$84,1)),10)</f>
        <v>27</v>
      </c>
      <c r="F49" s="12">
        <f>IFERROR(INDEX('Incwm (Cymru)'!$AB$4:$AB$84,MATCH('Cyfrifiadau - Cymru'!F48,'Incwm (Cymru)'!AF$4:AF$84,1)),10)</f>
        <v>27</v>
      </c>
      <c r="G49" s="186">
        <f>IFERROR(INDEX('Incwm (Cymru)'!$AB$4:$AB$84,MATCH('Cyfrifiadau - Cymru'!G48,'Incwm (Cymru)'!AG$4:AG$84,1)),10)</f>
        <v>28</v>
      </c>
    </row>
    <row r="50" spans="2:7" x14ac:dyDescent="0.25">
      <c r="B50" s="20" t="s">
        <v>197</v>
      </c>
      <c r="C50" s="200">
        <f>C49/100</f>
        <v>0.26</v>
      </c>
      <c r="D50" s="200">
        <f t="shared" ref="D50:G50" si="3">D49/100</f>
        <v>0.27</v>
      </c>
      <c r="E50" s="200">
        <f t="shared" si="3"/>
        <v>0.27</v>
      </c>
      <c r="F50" s="200">
        <f t="shared" si="3"/>
        <v>0.27</v>
      </c>
      <c r="G50" s="201">
        <f t="shared" si="3"/>
        <v>0.28000000000000003</v>
      </c>
    </row>
    <row r="51" spans="2:7" x14ac:dyDescent="0.25">
      <c r="B51" s="20" t="s">
        <v>196</v>
      </c>
      <c r="C51" s="204">
        <f>C50*C11</f>
        <v>1876.94</v>
      </c>
      <c r="D51" s="204">
        <f>D50*D11</f>
        <v>1880.5500000000002</v>
      </c>
      <c r="E51" s="204">
        <f>E50*E11</f>
        <v>1897.8300000000002</v>
      </c>
      <c r="F51" s="204">
        <f>F50*F11</f>
        <v>2023.92</v>
      </c>
      <c r="G51" s="205">
        <f>G50*G11</f>
        <v>1993.0400000000002</v>
      </c>
    </row>
    <row r="52" spans="2:7" x14ac:dyDescent="0.25">
      <c r="B52" s="20" t="s">
        <v>195</v>
      </c>
      <c r="C52" s="204">
        <f>C12</f>
        <v>1129</v>
      </c>
      <c r="D52" s="204">
        <f>D12</f>
        <v>1129</v>
      </c>
      <c r="E52" s="204">
        <f>E12</f>
        <v>1129</v>
      </c>
      <c r="F52" s="204">
        <f>F12</f>
        <v>1129</v>
      </c>
      <c r="G52" s="205">
        <f>G12</f>
        <v>1129</v>
      </c>
    </row>
    <row r="53" spans="2:7" x14ac:dyDescent="0.25">
      <c r="B53" s="20" t="s">
        <v>194</v>
      </c>
      <c r="C53" s="204">
        <f>C52+C51</f>
        <v>3005.94</v>
      </c>
      <c r="D53" s="204">
        <f t="shared" ref="D53:G53" si="4">D52+D51</f>
        <v>3009.55</v>
      </c>
      <c r="E53" s="204">
        <f t="shared" si="4"/>
        <v>3026.83</v>
      </c>
      <c r="F53" s="204">
        <f t="shared" si="4"/>
        <v>3152.92</v>
      </c>
      <c r="G53" s="205">
        <f t="shared" si="4"/>
        <v>3122.04</v>
      </c>
    </row>
    <row r="54" spans="2:7" x14ac:dyDescent="0.25">
      <c r="B54" s="20"/>
      <c r="C54" s="12"/>
      <c r="D54" s="12"/>
      <c r="E54" s="12"/>
      <c r="F54" s="12"/>
      <c r="G54" s="186"/>
    </row>
    <row r="55" spans="2:7" x14ac:dyDescent="0.25">
      <c r="B55" s="187" t="s">
        <v>192</v>
      </c>
      <c r="C55" s="12"/>
      <c r="D55" s="12"/>
      <c r="E55" s="12"/>
      <c r="F55" s="12"/>
      <c r="G55" s="186"/>
    </row>
    <row r="56" spans="2:7" x14ac:dyDescent="0.25">
      <c r="B56" s="206" t="s">
        <v>288</v>
      </c>
      <c r="C56" s="204" t="e">
        <f>C11-C41-C44-C51</f>
        <v>#VALUE!</v>
      </c>
      <c r="D56" s="204" t="e">
        <f>D11-D41-D44-D51</f>
        <v>#VALUE!</v>
      </c>
      <c r="E56" s="204" t="e">
        <f>E11-E41-E44-E51</f>
        <v>#VALUE!</v>
      </c>
      <c r="F56" s="204" t="e">
        <f>F11-F41-F44-F51</f>
        <v>#VALUE!</v>
      </c>
      <c r="G56" s="205" t="e">
        <f>G11-G41-G44-G51</f>
        <v>#VALUE!</v>
      </c>
    </row>
    <row r="57" spans="2:7" x14ac:dyDescent="0.25">
      <c r="B57" s="20"/>
      <c r="C57" s="12"/>
      <c r="D57" s="12"/>
      <c r="E57" s="12"/>
      <c r="F57" s="12"/>
      <c r="G57" s="186"/>
    </row>
    <row r="58" spans="2:7" x14ac:dyDescent="0.25">
      <c r="B58" s="187" t="s">
        <v>185</v>
      </c>
      <c r="C58" s="12"/>
      <c r="D58" s="12"/>
      <c r="E58" s="12"/>
      <c r="F58" s="12"/>
      <c r="G58" s="186"/>
    </row>
    <row r="59" spans="2:7" x14ac:dyDescent="0.25">
      <c r="B59" s="20" t="s">
        <v>193</v>
      </c>
      <c r="C59" s="21" t="e">
        <f>C41</f>
        <v>#VALUE!</v>
      </c>
      <c r="D59" s="21" t="e">
        <f>D41</f>
        <v>#VALUE!</v>
      </c>
      <c r="E59" s="21" t="e">
        <f>E41</f>
        <v>#VALUE!</v>
      </c>
      <c r="F59" s="21" t="e">
        <f>F41</f>
        <v>#VALUE!</v>
      </c>
      <c r="G59" s="22" t="e">
        <f>G41</f>
        <v>#VALUE!</v>
      </c>
    </row>
    <row r="60" spans="2:7" x14ac:dyDescent="0.25">
      <c r="B60" s="20" t="s">
        <v>190</v>
      </c>
      <c r="C60" s="21" t="e">
        <f>C44</f>
        <v>#VALUE!</v>
      </c>
      <c r="D60" s="21" t="e">
        <f>D44</f>
        <v>#VALUE!</v>
      </c>
      <c r="E60" s="21" t="e">
        <f>E44</f>
        <v>#VALUE!</v>
      </c>
      <c r="F60" s="21" t="e">
        <f>F44</f>
        <v>#VALUE!</v>
      </c>
      <c r="G60" s="22" t="e">
        <f>G44</f>
        <v>#VALUE!</v>
      </c>
    </row>
    <row r="61" spans="2:7" x14ac:dyDescent="0.25">
      <c r="B61" s="20" t="s">
        <v>191</v>
      </c>
      <c r="C61" s="21">
        <f>C53</f>
        <v>3005.94</v>
      </c>
      <c r="D61" s="21">
        <f>D53</f>
        <v>3009.55</v>
      </c>
      <c r="E61" s="21">
        <f>E53</f>
        <v>3026.83</v>
      </c>
      <c r="F61" s="21">
        <f>F53</f>
        <v>3152.92</v>
      </c>
      <c r="G61" s="22">
        <f>G53</f>
        <v>3122.04</v>
      </c>
    </row>
    <row r="62" spans="2:7" x14ac:dyDescent="0.25">
      <c r="B62" s="23" t="s">
        <v>192</v>
      </c>
      <c r="C62" s="25" t="e">
        <f>C56</f>
        <v>#VALUE!</v>
      </c>
      <c r="D62" s="25" t="e">
        <f>D56</f>
        <v>#VALUE!</v>
      </c>
      <c r="E62" s="25" t="e">
        <f>E56</f>
        <v>#VALUE!</v>
      </c>
      <c r="F62" s="25" t="e">
        <f>F56</f>
        <v>#VALUE!</v>
      </c>
      <c r="G62" s="26" t="e">
        <f>G56</f>
        <v>#VALUE!</v>
      </c>
    </row>
  </sheetData>
  <sheetProtection sheet="1" objects="1" scenarios="1"/>
  <mergeCells count="2">
    <mergeCell ref="B33:G33"/>
    <mergeCell ref="B3:G6"/>
  </mergeCells>
  <pageMargins left="0.7" right="0.7" top="0.75" bottom="0.75" header="0.3" footer="0.3"/>
  <pageSetup paperSize="9" scale="70" orientation="portrait" horizontalDpi="300" verticalDpi="3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pageSetUpPr fitToPage="1"/>
  </sheetPr>
  <dimension ref="B1:P62"/>
  <sheetViews>
    <sheetView showGridLines="0" workbookViewId="0"/>
  </sheetViews>
  <sheetFormatPr defaultColWidth="9.140625" defaultRowHeight="15" x14ac:dyDescent="0.25"/>
  <cols>
    <col min="1" max="1" width="1.7109375" style="1" customWidth="1"/>
    <col min="2" max="2" width="60.7109375" style="1" customWidth="1"/>
    <col min="3" max="7" width="11.5703125" style="1" bestFit="1" customWidth="1"/>
    <col min="8" max="8" width="9.140625" style="1"/>
    <col min="9" max="9" width="9.140625" style="13"/>
    <col min="10" max="16384" width="9.140625" style="1"/>
  </cols>
  <sheetData>
    <row r="1" spans="2:7" ht="21" x14ac:dyDescent="0.35">
      <c r="B1" s="123" t="s">
        <v>120</v>
      </c>
    </row>
    <row r="2" spans="2:7" ht="14.25" customHeight="1" x14ac:dyDescent="0.35">
      <c r="B2" s="123"/>
    </row>
    <row r="3" spans="2:7" ht="15" customHeight="1" x14ac:dyDescent="0.25">
      <c r="B3" s="390" t="s">
        <v>176</v>
      </c>
      <c r="C3" s="391"/>
      <c r="D3" s="391"/>
      <c r="E3" s="391"/>
      <c r="F3" s="391"/>
      <c r="G3" s="392"/>
    </row>
    <row r="4" spans="2:7" x14ac:dyDescent="0.25">
      <c r="B4" s="393"/>
      <c r="C4" s="394"/>
      <c r="D4" s="394"/>
      <c r="E4" s="394"/>
      <c r="F4" s="394"/>
      <c r="G4" s="395"/>
    </row>
    <row r="5" spans="2:7" x14ac:dyDescent="0.25">
      <c r="B5" s="393"/>
      <c r="C5" s="394"/>
      <c r="D5" s="394"/>
      <c r="E5" s="394"/>
      <c r="F5" s="394"/>
      <c r="G5" s="395"/>
    </row>
    <row r="6" spans="2:7" x14ac:dyDescent="0.25">
      <c r="B6" s="396"/>
      <c r="C6" s="397"/>
      <c r="D6" s="397"/>
      <c r="E6" s="397"/>
      <c r="F6" s="397"/>
      <c r="G6" s="398"/>
    </row>
    <row r="7" spans="2:7" ht="14.25" customHeight="1" x14ac:dyDescent="0.35">
      <c r="B7" s="123"/>
    </row>
    <row r="8" spans="2:7" ht="18.75" x14ac:dyDescent="0.3">
      <c r="B8" s="197" t="s">
        <v>177</v>
      </c>
      <c r="C8" s="17"/>
      <c r="D8" s="17"/>
      <c r="E8" s="17"/>
      <c r="F8" s="17"/>
      <c r="G8" s="185"/>
    </row>
    <row r="9" spans="2:7" ht="18.75" x14ac:dyDescent="0.3">
      <c r="B9" s="244"/>
      <c r="C9" s="12">
        <v>1</v>
      </c>
      <c r="D9" s="12">
        <v>2</v>
      </c>
      <c r="E9" s="12">
        <v>3</v>
      </c>
      <c r="F9" s="36">
        <v>4</v>
      </c>
      <c r="G9" s="186">
        <v>5</v>
      </c>
    </row>
    <row r="10" spans="2:7" x14ac:dyDescent="0.25">
      <c r="B10" s="20"/>
      <c r="C10" s="209" t="s">
        <v>0</v>
      </c>
      <c r="D10" s="209" t="s">
        <v>1</v>
      </c>
      <c r="E10" s="209" t="s">
        <v>2</v>
      </c>
      <c r="F10" s="209" t="s">
        <v>3</v>
      </c>
      <c r="G10" s="210" t="s">
        <v>4</v>
      </c>
    </row>
    <row r="11" spans="2:7" x14ac:dyDescent="0.25">
      <c r="B11" s="20" t="s">
        <v>142</v>
      </c>
      <c r="C11" s="21">
        <f t="array" ref="C11">INDEX('Angen Sydd Newydd Ymddangos'!D8:D31,MATCH(1,($B$1='Angen Sydd Newydd Ymddangos'!$C$8:$C$31)*('Rhaniad y Ddeiliadaeth (Cymru)'!$D$6='Angen Sydd Newydd Ymddangos'!$B$8:$B$31),0))</f>
        <v>1381</v>
      </c>
      <c r="D11" s="21">
        <f t="array" ref="D11">INDEX('Angen Sydd Newydd Ymddangos'!E8:E31,MATCH(1,($B$1='Angen Sydd Newydd Ymddangos'!$C$8:$C$31)*('Rhaniad y Ddeiliadaeth (Cymru)'!$D$6='Angen Sydd Newydd Ymddangos'!$B$8:$B$31),0))</f>
        <v>1307</v>
      </c>
      <c r="E11" s="21">
        <f t="array" ref="E11">INDEX('Angen Sydd Newydd Ymddangos'!F8:F31,MATCH(1,($B$1='Angen Sydd Newydd Ymddangos'!$C$8:$C$31)*('Rhaniad y Ddeiliadaeth (Cymru)'!$D$6='Angen Sydd Newydd Ymddangos'!$B$8:$B$31),0))</f>
        <v>1300</v>
      </c>
      <c r="F11" s="21">
        <f t="array" ref="F11">INDEX('Angen Sydd Newydd Ymddangos'!G8:G31,MATCH(1,($B$1='Angen Sydd Newydd Ymddangos'!$C$8:$C$31)*('Rhaniad y Ddeiliadaeth (Cymru)'!$D$6='Angen Sydd Newydd Ymddangos'!$B$8:$B$31),0))</f>
        <v>1384</v>
      </c>
      <c r="G11" s="22">
        <f t="array" ref="G11">INDEX('Angen Sydd Newydd Ymddangos'!H8:H31,MATCH(1,($B$1='Angen Sydd Newydd Ymddangos'!$C$8:$C$31)*('Rhaniad y Ddeiliadaeth (Cymru)'!$D$6='Angen Sydd Newydd Ymddangos'!$B$8:$B$31),0))</f>
        <v>1307</v>
      </c>
    </row>
    <row r="12" spans="2:7" x14ac:dyDescent="0.25">
      <c r="B12" s="20" t="s">
        <v>151</v>
      </c>
      <c r="C12" s="21">
        <f>IF('Angen Presennol Nas Diwallwyd'!$C$28&gt;='Cyfrifiadau - Gogledd'!C9,IF('Rhaniad y Ddeiliadaeth (Cymru)'!$D$7="Amcangyfrifon LlC",'Angen Presennol Nas Diwallwyd'!$C$9/'Angen Presennol Nas Diwallwyd'!$C$28,'Angen Presennol Nas Diwallwyd'!$C$18/'Angen Presennol Nas Diwallwyd'!$C$28),0)</f>
        <v>248.4</v>
      </c>
      <c r="D12" s="21">
        <f>IF('Angen Presennol Nas Diwallwyd'!$C$28&gt;='Cyfrifiadau - Gogledd'!D9,IF('Rhaniad y Ddeiliadaeth (Cymru)'!$D$7="Amcangyfrifon LlC",'Angen Presennol Nas Diwallwyd'!$C$9/'Angen Presennol Nas Diwallwyd'!$C$28,'Angen Presennol Nas Diwallwyd'!$C$18/'Angen Presennol Nas Diwallwyd'!$C$28),0)</f>
        <v>248.4</v>
      </c>
      <c r="E12" s="21">
        <f>IF('Angen Presennol Nas Diwallwyd'!$C$28&gt;='Cyfrifiadau - Gogledd'!E9,IF('Rhaniad y Ddeiliadaeth (Cymru)'!$D$7="Amcangyfrifon LlC",'Angen Presennol Nas Diwallwyd'!$C$9/'Angen Presennol Nas Diwallwyd'!$C$28,'Angen Presennol Nas Diwallwyd'!$C$18/'Angen Presennol Nas Diwallwyd'!$C$28),0)</f>
        <v>248.4</v>
      </c>
      <c r="F12" s="21">
        <f>IF('Angen Presennol Nas Diwallwyd'!$C$28&gt;='Cyfrifiadau - Gogledd'!F9,IF('Rhaniad y Ddeiliadaeth (Cymru)'!$D$7="Amcangyfrifon LlC",'Angen Presennol Nas Diwallwyd'!$C$9/'Angen Presennol Nas Diwallwyd'!$C$28,'Angen Presennol Nas Diwallwyd'!$C$18/'Angen Presennol Nas Diwallwyd'!$C$28),0)</f>
        <v>248.4</v>
      </c>
      <c r="G12" s="22">
        <f>IF('Angen Presennol Nas Diwallwyd'!$C$28&gt;='Cyfrifiadau - Gogledd'!G9,IF('Rhaniad y Ddeiliadaeth (Cymru)'!$D$7="Amcangyfrifon LlC",'Angen Presennol Nas Diwallwyd'!$C$9/'Angen Presennol Nas Diwallwyd'!$C$28,'Angen Presennol Nas Diwallwyd'!$C$18/'Angen Presennol Nas Diwallwyd'!$C$28),0)</f>
        <v>248.4</v>
      </c>
    </row>
    <row r="13" spans="2:7" x14ac:dyDescent="0.25">
      <c r="B13" s="23" t="s">
        <v>152</v>
      </c>
      <c r="C13" s="211">
        <f>SUM(C11:C12)</f>
        <v>1629.4</v>
      </c>
      <c r="D13" s="211">
        <f t="shared" ref="D13:G13" si="0">SUM(D11:D12)</f>
        <v>1555.4</v>
      </c>
      <c r="E13" s="211">
        <f t="shared" si="0"/>
        <v>1548.4</v>
      </c>
      <c r="F13" s="211">
        <f t="shared" si="0"/>
        <v>1632.4</v>
      </c>
      <c r="G13" s="212">
        <f t="shared" si="0"/>
        <v>1555.4</v>
      </c>
    </row>
    <row r="14" spans="2:7" x14ac:dyDescent="0.25">
      <c r="C14" s="2"/>
      <c r="D14" s="2"/>
      <c r="E14" s="2"/>
      <c r="F14" s="2"/>
      <c r="G14" s="2"/>
    </row>
    <row r="15" spans="2:7" ht="18.75" x14ac:dyDescent="0.3">
      <c r="B15" s="197" t="s">
        <v>178</v>
      </c>
      <c r="C15" s="213"/>
      <c r="D15" s="198"/>
      <c r="E15" s="198"/>
      <c r="F15" s="198"/>
      <c r="G15" s="199"/>
    </row>
    <row r="16" spans="2:7" x14ac:dyDescent="0.25">
      <c r="B16" s="20"/>
      <c r="C16" s="12"/>
      <c r="D16" s="12"/>
      <c r="E16" s="12"/>
      <c r="F16" s="12"/>
      <c r="G16" s="186"/>
    </row>
    <row r="17" spans="2:16" x14ac:dyDescent="0.25">
      <c r="B17" s="187" t="s">
        <v>180</v>
      </c>
      <c r="C17" s="12"/>
      <c r="D17" s="12"/>
      <c r="E17" s="12"/>
      <c r="F17" s="12"/>
      <c r="G17" s="186"/>
    </row>
    <row r="18" spans="2:16" x14ac:dyDescent="0.25">
      <c r="B18" s="20" t="s">
        <v>179</v>
      </c>
      <c r="C18" s="57">
        <f>'Rhaniad y Ddeiliadaeth (Gog)'!C112</f>
        <v>6791.8364616535882</v>
      </c>
      <c r="D18" s="57">
        <f>'Rhaniad y Ddeiliadaeth (Gog)'!D112</f>
        <v>6992.4417662105488</v>
      </c>
      <c r="E18" s="57">
        <f>'Rhaniad y Ddeiliadaeth (Gog)'!E112</f>
        <v>7206.4169433556008</v>
      </c>
      <c r="F18" s="57">
        <f>'Rhaniad y Ddeiliadaeth (Gog)'!F112</f>
        <v>7431.3465742352164</v>
      </c>
      <c r="G18" s="58">
        <f>'Rhaniad y Ddeiliadaeth (Gog)'!G112</f>
        <v>7667.0425037845062</v>
      </c>
    </row>
    <row r="19" spans="2:16" x14ac:dyDescent="0.25">
      <c r="B19" s="20" t="s">
        <v>181</v>
      </c>
      <c r="C19" s="57">
        <f>C18/'Rhaniad y Ddeiliadaeth (Gog)'!C108</f>
        <v>22639.454872178627</v>
      </c>
      <c r="D19" s="57">
        <f>D18/'Rhaniad y Ddeiliadaeth (Gog)'!D108</f>
        <v>23308.139220701829</v>
      </c>
      <c r="E19" s="57">
        <f>E18/'Rhaniad y Ddeiliadaeth (Gog)'!E108</f>
        <v>24021.389811185338</v>
      </c>
      <c r="F19" s="57">
        <f>F18/'Rhaniad y Ddeiliadaeth (Gog)'!F108</f>
        <v>24771.155247450723</v>
      </c>
      <c r="G19" s="58">
        <f>G18/'Rhaniad y Ddeiliadaeth (Gog)'!G108</f>
        <v>25556.808345948353</v>
      </c>
    </row>
    <row r="20" spans="2:16" x14ac:dyDescent="0.25">
      <c r="B20" s="20" t="s">
        <v>182</v>
      </c>
      <c r="C20" s="12">
        <f>IFERROR(INDEX('Incwm (Gogledd)'!$AB$4:$AB$84,MATCH('Cyfrifiadau - Gogledd'!C19,'Incwm (Gogledd)'!AC$4:AC$84,1)),10)</f>
        <v>41</v>
      </c>
      <c r="D20" s="12">
        <f>IFERROR(INDEX('Incwm (Gogledd)'!$AB$4:$AB$84,MATCH('Cyfrifiadau - Gogledd'!D19,'Incwm (Gogledd)'!AD$4:AD$84,1)),10)</f>
        <v>42</v>
      </c>
      <c r="E20" s="12">
        <f>IFERROR(INDEX('Incwm (Gogledd)'!$AB$4:$AB$84,MATCH('Cyfrifiadau - Gogledd'!E19,'Incwm (Gogledd)'!AE$4:AE$84,1)),10)</f>
        <v>42</v>
      </c>
      <c r="F20" s="12">
        <f>IFERROR(INDEX('Incwm (Gogledd)'!$AB$4:$AB$84,MATCH('Cyfrifiadau - Gogledd'!F19,'Incwm (Gogledd)'!AF$4:AF$84,1)),10)</f>
        <v>41</v>
      </c>
      <c r="G20" s="186">
        <f>IFERROR(INDEX('Incwm (Gogledd)'!$AB$4:$AB$84,MATCH('Cyfrifiadau - Gogledd'!G19,'Incwm (Gogledd)'!AG$4:AG$84,1)),10)</f>
        <v>41</v>
      </c>
      <c r="P20" s="13"/>
    </row>
    <row r="21" spans="2:16" x14ac:dyDescent="0.25">
      <c r="B21" s="20" t="s">
        <v>256</v>
      </c>
      <c r="C21" s="200">
        <f>(100-C20)/100</f>
        <v>0.59</v>
      </c>
      <c r="D21" s="200">
        <f t="shared" ref="D21:G21" si="1">(100-D20)/100</f>
        <v>0.57999999999999996</v>
      </c>
      <c r="E21" s="200">
        <f t="shared" si="1"/>
        <v>0.57999999999999996</v>
      </c>
      <c r="F21" s="200">
        <f t="shared" si="1"/>
        <v>0.59</v>
      </c>
      <c r="G21" s="201">
        <f t="shared" si="1"/>
        <v>0.59</v>
      </c>
    </row>
    <row r="22" spans="2:16" ht="30" x14ac:dyDescent="0.25">
      <c r="B22" s="259" t="s">
        <v>254</v>
      </c>
      <c r="C22" s="202">
        <f>C21*C11</f>
        <v>814.79</v>
      </c>
      <c r="D22" s="202">
        <f>D21*D11</f>
        <v>758.06</v>
      </c>
      <c r="E22" s="202">
        <f>E21*E11</f>
        <v>754</v>
      </c>
      <c r="F22" s="202">
        <f>F21*F11</f>
        <v>816.56</v>
      </c>
      <c r="G22" s="203">
        <f>G21*G11</f>
        <v>771.13</v>
      </c>
    </row>
    <row r="23" spans="2:16" x14ac:dyDescent="0.25">
      <c r="B23" s="20"/>
      <c r="C23" s="12"/>
      <c r="D23" s="12"/>
      <c r="E23" s="12"/>
      <c r="F23" s="12"/>
      <c r="G23" s="186"/>
    </row>
    <row r="24" spans="2:16" x14ac:dyDescent="0.25">
      <c r="B24" s="20"/>
      <c r="C24" s="202"/>
      <c r="D24" s="202"/>
      <c r="E24" s="202"/>
      <c r="F24" s="202"/>
      <c r="G24" s="203"/>
    </row>
    <row r="25" spans="2:16" x14ac:dyDescent="0.25">
      <c r="B25" s="187" t="s">
        <v>184</v>
      </c>
      <c r="C25" s="202"/>
      <c r="D25" s="202"/>
      <c r="E25" s="202"/>
      <c r="F25" s="202"/>
      <c r="G25" s="203"/>
    </row>
    <row r="26" spans="2:16" x14ac:dyDescent="0.25">
      <c r="B26" s="20" t="s">
        <v>253</v>
      </c>
      <c r="C26" s="202">
        <f>C13-C22</f>
        <v>814.61000000000013</v>
      </c>
      <c r="D26" s="202">
        <f>D13-D22</f>
        <v>797.34000000000015</v>
      </c>
      <c r="E26" s="202">
        <f t="shared" ref="E26:G26" si="2">E13-E22</f>
        <v>794.40000000000009</v>
      </c>
      <c r="F26" s="202">
        <f t="shared" si="2"/>
        <v>815.84000000000015</v>
      </c>
      <c r="G26" s="203">
        <f t="shared" si="2"/>
        <v>784.2700000000001</v>
      </c>
    </row>
    <row r="27" spans="2:16" x14ac:dyDescent="0.25">
      <c r="B27" s="20"/>
      <c r="C27" s="202"/>
      <c r="D27" s="202"/>
      <c r="E27" s="202"/>
      <c r="F27" s="202"/>
      <c r="G27" s="203"/>
    </row>
    <row r="28" spans="2:16" x14ac:dyDescent="0.25">
      <c r="B28" s="187" t="s">
        <v>185</v>
      </c>
      <c r="C28" s="12"/>
      <c r="D28" s="12"/>
      <c r="E28" s="12"/>
      <c r="F28" s="12"/>
      <c r="G28" s="186"/>
    </row>
    <row r="29" spans="2:16" x14ac:dyDescent="0.25">
      <c r="B29" s="20" t="s">
        <v>186</v>
      </c>
      <c r="C29" s="21">
        <f>C22</f>
        <v>814.79</v>
      </c>
      <c r="D29" s="21">
        <f>D22</f>
        <v>758.06</v>
      </c>
      <c r="E29" s="21">
        <f>E22</f>
        <v>754</v>
      </c>
      <c r="F29" s="21">
        <f>F22</f>
        <v>816.56</v>
      </c>
      <c r="G29" s="22">
        <f>G22</f>
        <v>771.13</v>
      </c>
    </row>
    <row r="30" spans="2:16" x14ac:dyDescent="0.25">
      <c r="B30" s="23" t="s">
        <v>184</v>
      </c>
      <c r="C30" s="25">
        <f>C26</f>
        <v>814.61000000000013</v>
      </c>
      <c r="D30" s="25">
        <f>D26</f>
        <v>797.34000000000015</v>
      </c>
      <c r="E30" s="25">
        <f>E26</f>
        <v>794.40000000000009</v>
      </c>
      <c r="F30" s="25">
        <f>F26</f>
        <v>815.84000000000015</v>
      </c>
      <c r="G30" s="26">
        <f>G26</f>
        <v>784.2700000000001</v>
      </c>
    </row>
    <row r="31" spans="2:16" x14ac:dyDescent="0.25">
      <c r="C31" s="6"/>
      <c r="D31" s="6"/>
      <c r="E31" s="6"/>
      <c r="F31" s="6"/>
      <c r="G31" s="6"/>
    </row>
    <row r="32" spans="2:16" ht="18.75" x14ac:dyDescent="0.3">
      <c r="B32" s="197" t="s">
        <v>187</v>
      </c>
      <c r="C32" s="17"/>
      <c r="D32" s="17"/>
      <c r="E32" s="17"/>
      <c r="F32" s="17"/>
      <c r="G32" s="185"/>
    </row>
    <row r="33" spans="2:16" ht="21" customHeight="1" x14ac:dyDescent="0.25">
      <c r="B33" s="387" t="s">
        <v>188</v>
      </c>
      <c r="C33" s="388"/>
      <c r="D33" s="388"/>
      <c r="E33" s="388"/>
      <c r="F33" s="388"/>
      <c r="G33" s="389"/>
    </row>
    <row r="34" spans="2:16" x14ac:dyDescent="0.25">
      <c r="B34" s="20"/>
      <c r="C34" s="12"/>
      <c r="D34" s="12"/>
      <c r="E34" s="12"/>
      <c r="F34" s="12"/>
      <c r="G34" s="186"/>
    </row>
    <row r="35" spans="2:16" x14ac:dyDescent="0.25">
      <c r="B35" s="187" t="s">
        <v>189</v>
      </c>
      <c r="C35" s="12"/>
      <c r="D35" s="12"/>
      <c r="E35" s="12"/>
      <c r="F35" s="12"/>
      <c r="G35" s="186"/>
      <c r="P35" s="13"/>
    </row>
    <row r="36" spans="2:16" x14ac:dyDescent="0.25">
      <c r="B36" s="20" t="str">
        <f>"Canradd y Prynwyr sy'n Prynu Eiddo am y Tro Cyntaf: "&amp;'Rhaniad y Ddeiliadaeth (Cymru)'!C115</f>
        <v>Canradd y Prynwyr sy'n Prynu Eiddo am y Tro Cyntaf: 25</v>
      </c>
      <c r="C36" s="57">
        <f>INDEX('Prisiau Tai (Gogledd)'!AC$4:AC$84,MATCH('Rhaniad y Ddeiliadaeth (Gog)'!C115,'Prisiau Tai (Gogledd)'!$AB$4:$AB$84,0))</f>
        <v>119809.25068664551</v>
      </c>
      <c r="D36" s="57">
        <f>INDEX('Prisiau Tai (Gogledd)'!AD$4:AD$84,MATCH('Rhaniad y Ddeiliadaeth (Gog)'!D115,'Prisiau Tai (Gogledd)'!$AB$4:$AB$84,0))</f>
        <v>120076.01254191193</v>
      </c>
      <c r="E36" s="57">
        <f>INDEX('Prisiau Tai (Gogledd)'!AE$4:AE$84,MATCH('Rhaniad y Ddeiliadaeth (Gog)'!E115,'Prisiau Tai (Gogledd)'!$AB$4:$AB$84,0))</f>
        <v>122660.57426816714</v>
      </c>
      <c r="F36" s="57">
        <f>INDEX('Prisiau Tai (Gogledd)'!AF$4:AF$84,MATCH('Rhaniad y Ddeiliadaeth (Gog)'!F115,'Prisiau Tai (Gogledd)'!$AB$4:$AB$84,0))</f>
        <v>127444.23467494172</v>
      </c>
      <c r="G36" s="58">
        <f>INDEX('Prisiau Tai (Gogledd)'!AG$4:AG$84,MATCH('Rhaniad y Ddeiliadaeth (Gog)'!G115,'Prisiau Tai (Gogledd)'!$AB$4:$AB$84,0))</f>
        <v>132730.61183105622</v>
      </c>
      <c r="P36" s="13"/>
    </row>
    <row r="37" spans="2:16" x14ac:dyDescent="0.25">
      <c r="B37" s="20" t="s">
        <v>181</v>
      </c>
      <c r="C37" s="57">
        <f>C36/'Rhaniad y Ddeiliadaeth (Gog)'!C114</f>
        <v>31528.750180696188</v>
      </c>
      <c r="D37" s="57">
        <f>D36/'Rhaniad y Ddeiliadaeth (Gog)'!D114</f>
        <v>31598.950668924193</v>
      </c>
      <c r="E37" s="57">
        <f>E36/'Rhaniad y Ddeiliadaeth (Gog)'!E114</f>
        <v>32279.098491622932</v>
      </c>
      <c r="F37" s="57">
        <f>F36/'Rhaniad y Ddeiliadaeth (Gog)'!F114</f>
        <v>33537.95649340572</v>
      </c>
      <c r="G37" s="58">
        <f>G36/'Rhaniad y Ddeiliadaeth (Gog)'!G114</f>
        <v>34929.108376593744</v>
      </c>
      <c r="P37" s="13"/>
    </row>
    <row r="38" spans="2:16" x14ac:dyDescent="0.25">
      <c r="B38" s="20" t="s">
        <v>182</v>
      </c>
      <c r="C38" s="12">
        <f>IFERROR(INDEX('Incwm (Gogledd)'!$AB$4:$AB$84,MATCH('Cyfrifiadau - Gogledd'!C37,'Incwm (Gogledd)'!AC$4:AC$84,1)),10)</f>
        <v>58</v>
      </c>
      <c r="D38" s="12">
        <f>IFERROR(INDEX('Incwm (Gogledd)'!$AB$4:$AB$84,MATCH('Cyfrifiadau - Gogledd'!D37,'Incwm (Gogledd)'!AD$4:AD$84,1)),10)</f>
        <v>57</v>
      </c>
      <c r="E38" s="12">
        <f>IFERROR(INDEX('Incwm (Gogledd)'!$AB$4:$AB$84,MATCH('Cyfrifiadau - Gogledd'!E37,'Incwm (Gogledd)'!AE$4:AE$84,1)),10)</f>
        <v>56</v>
      </c>
      <c r="F38" s="12">
        <f>IFERROR(INDEX('Incwm (Gogledd)'!$AB$4:$AB$84,MATCH('Cyfrifiadau - Gogledd'!F37,'Incwm (Gogledd)'!AF$4:AF$84,1)),10)</f>
        <v>56</v>
      </c>
      <c r="G38" s="186">
        <f>IFERROR(INDEX('Incwm (Gogledd)'!$AB$4:$AB$84,MATCH('Cyfrifiadau - Gogledd'!G37,'Incwm (Gogledd)'!AG$4:AG$84,1)),10)</f>
        <v>56</v>
      </c>
      <c r="P38" s="13"/>
    </row>
    <row r="39" spans="2:16" x14ac:dyDescent="0.25">
      <c r="B39" s="20" t="s">
        <v>183</v>
      </c>
      <c r="C39" s="200">
        <f>(100-C38)/100</f>
        <v>0.42</v>
      </c>
      <c r="D39" s="200">
        <f t="shared" ref="D39:G39" si="3">(100-D38)/100</f>
        <v>0.43</v>
      </c>
      <c r="E39" s="200">
        <f t="shared" si="3"/>
        <v>0.44</v>
      </c>
      <c r="F39" s="200">
        <f t="shared" si="3"/>
        <v>0.44</v>
      </c>
      <c r="G39" s="201">
        <f t="shared" si="3"/>
        <v>0.44</v>
      </c>
      <c r="P39" s="13"/>
    </row>
    <row r="40" spans="2:16" x14ac:dyDescent="0.25">
      <c r="B40" s="20" t="s">
        <v>256</v>
      </c>
      <c r="C40" s="200" t="e">
        <f>C39*'Rhaniad y Ddeiliadaeth (Gog)'!C116</f>
        <v>#VALUE!</v>
      </c>
      <c r="D40" s="200" t="e">
        <f>D39*'Rhaniad y Ddeiliadaeth (Gog)'!D116</f>
        <v>#VALUE!</v>
      </c>
      <c r="E40" s="200" t="e">
        <f>E39*'Rhaniad y Ddeiliadaeth (Gog)'!E116</f>
        <v>#VALUE!</v>
      </c>
      <c r="F40" s="200" t="e">
        <f>F39*'Rhaniad y Ddeiliadaeth (Gog)'!F116</f>
        <v>#VALUE!</v>
      </c>
      <c r="G40" s="201" t="e">
        <f>G39*'Rhaniad y Ddeiliadaeth (Gog)'!G116</f>
        <v>#VALUE!</v>
      </c>
      <c r="P40" s="13"/>
    </row>
    <row r="41" spans="2:16" x14ac:dyDescent="0.25">
      <c r="B41" s="20" t="s">
        <v>189</v>
      </c>
      <c r="C41" s="204" t="e">
        <f>C40*C11</f>
        <v>#VALUE!</v>
      </c>
      <c r="D41" s="204" t="e">
        <f>D40*D11</f>
        <v>#VALUE!</v>
      </c>
      <c r="E41" s="204" t="e">
        <f>E40*E11</f>
        <v>#VALUE!</v>
      </c>
      <c r="F41" s="204" t="e">
        <f>F40*F11</f>
        <v>#VALUE!</v>
      </c>
      <c r="G41" s="205" t="e">
        <f>G40*G11</f>
        <v>#VALUE!</v>
      </c>
      <c r="P41" s="13"/>
    </row>
    <row r="42" spans="2:16" x14ac:dyDescent="0.25">
      <c r="B42" s="20"/>
      <c r="C42" s="204"/>
      <c r="D42" s="204"/>
      <c r="E42" s="204"/>
      <c r="F42" s="204"/>
      <c r="G42" s="205"/>
      <c r="P42" s="13"/>
    </row>
    <row r="43" spans="2:16" x14ac:dyDescent="0.25">
      <c r="B43" s="187" t="s">
        <v>190</v>
      </c>
      <c r="C43" s="204"/>
      <c r="D43" s="204"/>
      <c r="E43" s="204"/>
      <c r="F43" s="204"/>
      <c r="G43" s="205"/>
      <c r="P43" s="13"/>
    </row>
    <row r="44" spans="2:16" ht="30" x14ac:dyDescent="0.25">
      <c r="B44" s="266" t="s">
        <v>257</v>
      </c>
      <c r="C44" s="21" t="e">
        <f>C22-C41</f>
        <v>#VALUE!</v>
      </c>
      <c r="D44" s="21" t="e">
        <f>D22-D41</f>
        <v>#VALUE!</v>
      </c>
      <c r="E44" s="21" t="e">
        <f>E22-E41</f>
        <v>#VALUE!</v>
      </c>
      <c r="F44" s="21" t="e">
        <f>F22-F41</f>
        <v>#VALUE!</v>
      </c>
      <c r="G44" s="22" t="e">
        <f>G22-G41</f>
        <v>#VALUE!</v>
      </c>
      <c r="P44" s="13"/>
    </row>
    <row r="45" spans="2:16" x14ac:dyDescent="0.25">
      <c r="B45" s="20"/>
      <c r="C45" s="21"/>
      <c r="D45" s="21"/>
      <c r="E45" s="21"/>
      <c r="F45" s="21"/>
      <c r="G45" s="22"/>
    </row>
    <row r="46" spans="2:16" x14ac:dyDescent="0.25">
      <c r="B46" s="187" t="s">
        <v>191</v>
      </c>
      <c r="C46" s="12"/>
      <c r="D46" s="12"/>
      <c r="E46" s="12"/>
      <c r="F46" s="12"/>
      <c r="G46" s="186"/>
    </row>
    <row r="47" spans="2:16" x14ac:dyDescent="0.25">
      <c r="B47" s="20" t="s">
        <v>258</v>
      </c>
      <c r="C47" s="57">
        <f>'Rhaniad y Ddeiliadaeth (Gog)'!C113</f>
        <v>6112.6528154882299</v>
      </c>
      <c r="D47" s="57">
        <f>'Rhaniad y Ddeiliadaeth (Gog)'!D113</f>
        <v>6293.1975895894948</v>
      </c>
      <c r="E47" s="57">
        <f>'Rhaniad y Ddeiliadaeth (Gog)'!E113</f>
        <v>6485.7752490200419</v>
      </c>
      <c r="F47" s="57">
        <f>'Rhaniad y Ddeiliadaeth (Gog)'!F113</f>
        <v>6688.211916811696</v>
      </c>
      <c r="G47" s="58">
        <f>'Rhaniad y Ddeiliadaeth (Gog)'!G113</f>
        <v>6900.3382534060565</v>
      </c>
    </row>
    <row r="48" spans="2:16" x14ac:dyDescent="0.25">
      <c r="B48" s="20" t="s">
        <v>198</v>
      </c>
      <c r="C48" s="57">
        <f>C47/'Rhaniad y Ddeiliadaeth (Gog)'!C117</f>
        <v>17464.722329966371</v>
      </c>
      <c r="D48" s="57">
        <f>D47/'Rhaniad y Ddeiliadaeth (Gog)'!D117</f>
        <v>17980.564541684271</v>
      </c>
      <c r="E48" s="57">
        <f>E47/'Rhaniad y Ddeiliadaeth (Gog)'!E117</f>
        <v>18530.786425771548</v>
      </c>
      <c r="F48" s="57">
        <f>F47/'Rhaniad y Ddeiliadaeth (Gog)'!F117</f>
        <v>19109.176905176275</v>
      </c>
      <c r="G48" s="58">
        <f>G47/'Rhaniad y Ddeiliadaeth (Gog)'!G117</f>
        <v>19715.252152588735</v>
      </c>
    </row>
    <row r="49" spans="2:7" x14ac:dyDescent="0.25">
      <c r="B49" s="20" t="s">
        <v>182</v>
      </c>
      <c r="C49" s="12">
        <f>IFERROR(INDEX('Incwm (Gogledd)'!$AB$4:$AB$84,MATCH('Cyfrifiadau - Gogledd'!C48,'Incwm (Gogledd)'!AC$4:AC$84,1)),10)</f>
        <v>30</v>
      </c>
      <c r="D49" s="12">
        <f>IFERROR(INDEX('Incwm (Gogledd)'!$AB$4:$AB$84,MATCH('Cyfrifiadau - Gogledd'!D48,'Incwm (Gogledd)'!AD$4:AD$84,1)),10)</f>
        <v>30</v>
      </c>
      <c r="E49" s="12">
        <f>IFERROR(INDEX('Incwm (Gogledd)'!$AB$4:$AB$84,MATCH('Cyfrifiadau - Gogledd'!E48,'Incwm (Gogledd)'!AE$4:AE$84,1)),10)</f>
        <v>30</v>
      </c>
      <c r="F49" s="12">
        <f>IFERROR(INDEX('Incwm (Gogledd)'!$AB$4:$AB$84,MATCH('Cyfrifiadau - Gogledd'!F48,'Incwm (Gogledd)'!AF$4:AF$84,1)),10)</f>
        <v>30</v>
      </c>
      <c r="G49" s="186">
        <f>IFERROR(INDEX('Incwm (Gogledd)'!$AB$4:$AB$84,MATCH('Cyfrifiadau - Gogledd'!G48,'Incwm (Gogledd)'!AG$4:AG$84,1)),10)</f>
        <v>30</v>
      </c>
    </row>
    <row r="50" spans="2:7" x14ac:dyDescent="0.25">
      <c r="B50" s="20" t="s">
        <v>197</v>
      </c>
      <c r="C50" s="200">
        <f>C49/100</f>
        <v>0.3</v>
      </c>
      <c r="D50" s="200">
        <f t="shared" ref="D50:G50" si="4">D49/100</f>
        <v>0.3</v>
      </c>
      <c r="E50" s="200">
        <f t="shared" si="4"/>
        <v>0.3</v>
      </c>
      <c r="F50" s="200">
        <f t="shared" si="4"/>
        <v>0.3</v>
      </c>
      <c r="G50" s="201">
        <f t="shared" si="4"/>
        <v>0.3</v>
      </c>
    </row>
    <row r="51" spans="2:7" x14ac:dyDescent="0.25">
      <c r="B51" s="20" t="s">
        <v>196</v>
      </c>
      <c r="C51" s="204">
        <f>C50*C11</f>
        <v>414.3</v>
      </c>
      <c r="D51" s="204">
        <f>D50*D11</f>
        <v>392.09999999999997</v>
      </c>
      <c r="E51" s="204">
        <f>E50*E11</f>
        <v>390</v>
      </c>
      <c r="F51" s="204">
        <f>F50*F11</f>
        <v>415.2</v>
      </c>
      <c r="G51" s="205">
        <f>G50*G11</f>
        <v>392.09999999999997</v>
      </c>
    </row>
    <row r="52" spans="2:7" x14ac:dyDescent="0.25">
      <c r="B52" s="20" t="s">
        <v>195</v>
      </c>
      <c r="C52" s="204">
        <f>C12</f>
        <v>248.4</v>
      </c>
      <c r="D52" s="204">
        <f>D12</f>
        <v>248.4</v>
      </c>
      <c r="E52" s="204">
        <f>E12</f>
        <v>248.4</v>
      </c>
      <c r="F52" s="204">
        <f>F12</f>
        <v>248.4</v>
      </c>
      <c r="G52" s="205">
        <f>G12</f>
        <v>248.4</v>
      </c>
    </row>
    <row r="53" spans="2:7" x14ac:dyDescent="0.25">
      <c r="B53" s="20" t="s">
        <v>194</v>
      </c>
      <c r="C53" s="204">
        <f>C52+C51</f>
        <v>662.7</v>
      </c>
      <c r="D53" s="204">
        <f t="shared" ref="D53:G53" si="5">D52+D51</f>
        <v>640.5</v>
      </c>
      <c r="E53" s="204">
        <f t="shared" si="5"/>
        <v>638.4</v>
      </c>
      <c r="F53" s="204">
        <f t="shared" si="5"/>
        <v>663.6</v>
      </c>
      <c r="G53" s="205">
        <f t="shared" si="5"/>
        <v>640.5</v>
      </c>
    </row>
    <row r="54" spans="2:7" x14ac:dyDescent="0.25">
      <c r="B54" s="20"/>
      <c r="C54" s="12"/>
      <c r="D54" s="12"/>
      <c r="E54" s="12"/>
      <c r="F54" s="12"/>
      <c r="G54" s="186"/>
    </row>
    <row r="55" spans="2:7" x14ac:dyDescent="0.25">
      <c r="B55" s="187" t="s">
        <v>192</v>
      </c>
      <c r="C55" s="12"/>
      <c r="D55" s="12"/>
      <c r="E55" s="12"/>
      <c r="F55" s="12"/>
      <c r="G55" s="186"/>
    </row>
    <row r="56" spans="2:7" x14ac:dyDescent="0.25">
      <c r="B56" s="206" t="s">
        <v>289</v>
      </c>
      <c r="C56" s="204" t="e">
        <f>C11-C41-C44-C51</f>
        <v>#VALUE!</v>
      </c>
      <c r="D56" s="204" t="e">
        <f>D11-D41-D44-D51</f>
        <v>#VALUE!</v>
      </c>
      <c r="E56" s="204" t="e">
        <f>E11-E41-E44-E51</f>
        <v>#VALUE!</v>
      </c>
      <c r="F56" s="204" t="e">
        <f>F11-F41-F44-F51</f>
        <v>#VALUE!</v>
      </c>
      <c r="G56" s="205" t="e">
        <f>G11-G41-G44-G51</f>
        <v>#VALUE!</v>
      </c>
    </row>
    <row r="57" spans="2:7" x14ac:dyDescent="0.25">
      <c r="B57" s="20"/>
      <c r="C57" s="12"/>
      <c r="D57" s="12"/>
      <c r="E57" s="12"/>
      <c r="F57" s="12"/>
      <c r="G57" s="186"/>
    </row>
    <row r="58" spans="2:7" x14ac:dyDescent="0.25">
      <c r="B58" s="187" t="s">
        <v>185</v>
      </c>
      <c r="C58" s="12"/>
      <c r="D58" s="12"/>
      <c r="E58" s="12"/>
      <c r="F58" s="12"/>
      <c r="G58" s="186"/>
    </row>
    <row r="59" spans="2:7" x14ac:dyDescent="0.25">
      <c r="B59" s="20" t="s">
        <v>193</v>
      </c>
      <c r="C59" s="21" t="e">
        <f>C41</f>
        <v>#VALUE!</v>
      </c>
      <c r="D59" s="21" t="e">
        <f>D41</f>
        <v>#VALUE!</v>
      </c>
      <c r="E59" s="21" t="e">
        <f>E41</f>
        <v>#VALUE!</v>
      </c>
      <c r="F59" s="21" t="e">
        <f>F41</f>
        <v>#VALUE!</v>
      </c>
      <c r="G59" s="22" t="e">
        <f>G41</f>
        <v>#VALUE!</v>
      </c>
    </row>
    <row r="60" spans="2:7" x14ac:dyDescent="0.25">
      <c r="B60" s="20" t="s">
        <v>190</v>
      </c>
      <c r="C60" s="21" t="e">
        <f>C44</f>
        <v>#VALUE!</v>
      </c>
      <c r="D60" s="21" t="e">
        <f>D44</f>
        <v>#VALUE!</v>
      </c>
      <c r="E60" s="21" t="e">
        <f>E44</f>
        <v>#VALUE!</v>
      </c>
      <c r="F60" s="21" t="e">
        <f>F44</f>
        <v>#VALUE!</v>
      </c>
      <c r="G60" s="22" t="e">
        <f>G44</f>
        <v>#VALUE!</v>
      </c>
    </row>
    <row r="61" spans="2:7" x14ac:dyDescent="0.25">
      <c r="B61" s="20" t="s">
        <v>191</v>
      </c>
      <c r="C61" s="21">
        <f>C53</f>
        <v>662.7</v>
      </c>
      <c r="D61" s="21">
        <f>D53</f>
        <v>640.5</v>
      </c>
      <c r="E61" s="21">
        <f>E53</f>
        <v>638.4</v>
      </c>
      <c r="F61" s="21">
        <f>F53</f>
        <v>663.6</v>
      </c>
      <c r="G61" s="22">
        <f>G53</f>
        <v>640.5</v>
      </c>
    </row>
    <row r="62" spans="2:7" x14ac:dyDescent="0.25">
      <c r="B62" s="23" t="s">
        <v>192</v>
      </c>
      <c r="C62" s="25" t="e">
        <f>C56</f>
        <v>#VALUE!</v>
      </c>
      <c r="D62" s="25" t="e">
        <f>D56</f>
        <v>#VALUE!</v>
      </c>
      <c r="E62" s="25" t="e">
        <f>E56</f>
        <v>#VALUE!</v>
      </c>
      <c r="F62" s="25" t="e">
        <f>F56</f>
        <v>#VALUE!</v>
      </c>
      <c r="G62" s="26" t="e">
        <f>G56</f>
        <v>#VALUE!</v>
      </c>
    </row>
  </sheetData>
  <sheetProtection sheet="1" objects="1" scenarios="1"/>
  <mergeCells count="2">
    <mergeCell ref="B3:G6"/>
    <mergeCell ref="B33:G33"/>
  </mergeCells>
  <pageMargins left="0.7" right="0.7" top="0.75" bottom="0.75" header="0.3" footer="0.3"/>
  <pageSetup paperSize="9" scale="74" orientation="portrait" horizontalDpi="300" verticalDpi="3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pageSetUpPr fitToPage="1"/>
  </sheetPr>
  <dimension ref="B1:P62"/>
  <sheetViews>
    <sheetView showGridLines="0" zoomScaleNormal="100" workbookViewId="0"/>
  </sheetViews>
  <sheetFormatPr defaultColWidth="9.140625" defaultRowHeight="15" x14ac:dyDescent="0.25"/>
  <cols>
    <col min="1" max="1" width="1.7109375" style="1" customWidth="1"/>
    <col min="2" max="2" width="79.7109375" style="1" customWidth="1"/>
    <col min="3" max="7" width="11.5703125" style="1" bestFit="1" customWidth="1"/>
    <col min="8" max="8" width="9.140625" style="1"/>
    <col min="9" max="9" width="9.140625" style="13"/>
    <col min="10" max="16384" width="9.140625" style="1"/>
  </cols>
  <sheetData>
    <row r="1" spans="2:7" ht="18.75" x14ac:dyDescent="0.3">
      <c r="B1" s="10" t="s">
        <v>121</v>
      </c>
    </row>
    <row r="2" spans="2:7" ht="14.25" customHeight="1" x14ac:dyDescent="0.3">
      <c r="B2" s="10"/>
    </row>
    <row r="3" spans="2:7" ht="15" customHeight="1" x14ac:dyDescent="0.25">
      <c r="B3" s="390" t="s">
        <v>176</v>
      </c>
      <c r="C3" s="391"/>
      <c r="D3" s="391"/>
      <c r="E3" s="391"/>
      <c r="F3" s="391"/>
      <c r="G3" s="392"/>
    </row>
    <row r="4" spans="2:7" x14ac:dyDescent="0.25">
      <c r="B4" s="393"/>
      <c r="C4" s="394"/>
      <c r="D4" s="394"/>
      <c r="E4" s="394"/>
      <c r="F4" s="394"/>
      <c r="G4" s="395"/>
    </row>
    <row r="5" spans="2:7" x14ac:dyDescent="0.25">
      <c r="B5" s="393"/>
      <c r="C5" s="394"/>
      <c r="D5" s="394"/>
      <c r="E5" s="394"/>
      <c r="F5" s="394"/>
      <c r="G5" s="395"/>
    </row>
    <row r="6" spans="2:7" x14ac:dyDescent="0.25">
      <c r="B6" s="396"/>
      <c r="C6" s="397"/>
      <c r="D6" s="397"/>
      <c r="E6" s="397"/>
      <c r="F6" s="397"/>
      <c r="G6" s="398"/>
    </row>
    <row r="7" spans="2:7" ht="18.75" x14ac:dyDescent="0.3">
      <c r="B7" s="10"/>
    </row>
    <row r="8" spans="2:7" ht="18.75" x14ac:dyDescent="0.3">
      <c r="B8" s="197" t="s">
        <v>177</v>
      </c>
      <c r="C8" s="17"/>
      <c r="D8" s="17"/>
      <c r="E8" s="17"/>
      <c r="F8" s="17"/>
      <c r="G8" s="185"/>
    </row>
    <row r="9" spans="2:7" ht="18.75" x14ac:dyDescent="0.3">
      <c r="B9" s="244"/>
      <c r="C9" s="12">
        <v>1</v>
      </c>
      <c r="D9" s="12">
        <v>2</v>
      </c>
      <c r="E9" s="12">
        <v>3</v>
      </c>
      <c r="F9" s="36">
        <v>4</v>
      </c>
      <c r="G9" s="186">
        <v>5</v>
      </c>
    </row>
    <row r="10" spans="2:7" x14ac:dyDescent="0.25">
      <c r="B10" s="20"/>
      <c r="C10" s="209" t="s">
        <v>0</v>
      </c>
      <c r="D10" s="209" t="s">
        <v>1</v>
      </c>
      <c r="E10" s="209" t="s">
        <v>2</v>
      </c>
      <c r="F10" s="209" t="s">
        <v>3</v>
      </c>
      <c r="G10" s="210" t="s">
        <v>4</v>
      </c>
    </row>
    <row r="11" spans="2:7" x14ac:dyDescent="0.25">
      <c r="B11" s="20" t="s">
        <v>142</v>
      </c>
      <c r="C11" s="21">
        <f t="array" ref="C11">INDEX('Angen Sydd Newydd Ymddangos'!D8:D31,MATCH(1,($B$1='Angen Sydd Newydd Ymddangos'!$C$8:$C$31)*('Rhaniad y Ddeiliadaeth (Cymru)'!$D$6='Angen Sydd Newydd Ymddangos'!$B$8:$B$31),0))</f>
        <v>1784</v>
      </c>
      <c r="D11" s="21">
        <f t="array" ref="D11">INDEX('Angen Sydd Newydd Ymddangos'!E8:E31,MATCH(1,($B$1='Angen Sydd Newydd Ymddangos'!$C$8:$C$31)*('Rhaniad y Ddeiliadaeth (Cymru)'!$D$6='Angen Sydd Newydd Ymddangos'!$B$8:$B$31),0))</f>
        <v>1709</v>
      </c>
      <c r="E11" s="21">
        <f t="array" ref="E11">INDEX('Angen Sydd Newydd Ymddangos'!F8:F31,MATCH(1,($B$1='Angen Sydd Newydd Ymddangos'!$C$8:$C$31)*('Rhaniad y Ddeiliadaeth (Cymru)'!$D$6='Angen Sydd Newydd Ymddangos'!$B$8:$B$31),0))</f>
        <v>1708</v>
      </c>
      <c r="F11" s="21">
        <f t="array" ref="F11">INDEX('Angen Sydd Newydd Ymddangos'!G8:G31,MATCH(1,($B$1='Angen Sydd Newydd Ymddangos'!$C$8:$C$31)*('Rhaniad y Ddeiliadaeth (Cymru)'!$D$6='Angen Sydd Newydd Ymddangos'!$B$8:$B$31),0))</f>
        <v>1827</v>
      </c>
      <c r="G11" s="22">
        <f t="array" ref="G11">INDEX('Angen Sydd Newydd Ymddangos'!H8:H31,MATCH(1,($B$1='Angen Sydd Newydd Ymddangos'!$C$8:$C$31)*('Rhaniad y Ddeiliadaeth (Cymru)'!$D$6='Angen Sydd Newydd Ymddangos'!$B$8:$B$31),0))</f>
        <v>1702</v>
      </c>
    </row>
    <row r="12" spans="2:7" x14ac:dyDescent="0.25">
      <c r="B12" s="20" t="s">
        <v>151</v>
      </c>
      <c r="C12" s="21">
        <f>IF('Angen Presennol Nas Diwallwyd'!$C$28&gt;='Cyfrifiadau - Canol. &amp; De-orll'!C9,IF('Rhaniad y Ddeiliadaeth (Cymru)'!$D$7="Amcangyfrifon LlC",'Angen Presennol Nas Diwallwyd'!$C$10/'Angen Presennol Nas Diwallwyd'!$C$28,'Angen Presennol Nas Diwallwyd'!$C$19/'Angen Presennol Nas Diwallwyd'!$C$28),0)</f>
        <v>230.6</v>
      </c>
      <c r="D12" s="21">
        <f>IF('Angen Presennol Nas Diwallwyd'!$C$28&gt;='Cyfrifiadau - Canol. &amp; De-orll'!D9,IF('Rhaniad y Ddeiliadaeth (Cymru)'!$D$7="Amcangyfrifon LlC",'Angen Presennol Nas Diwallwyd'!$C$10/'Angen Presennol Nas Diwallwyd'!$C$28,'Angen Presennol Nas Diwallwyd'!$C$19/'Angen Presennol Nas Diwallwyd'!$C$28),0)</f>
        <v>230.6</v>
      </c>
      <c r="E12" s="21">
        <f>IF('Angen Presennol Nas Diwallwyd'!$C$28&gt;='Cyfrifiadau - Canol. &amp; De-orll'!E9,IF('Rhaniad y Ddeiliadaeth (Cymru)'!$D$7="Amcangyfrifon LlC",'Angen Presennol Nas Diwallwyd'!$C$10/'Angen Presennol Nas Diwallwyd'!$C$28,'Angen Presennol Nas Diwallwyd'!$C$19/'Angen Presennol Nas Diwallwyd'!$C$28),0)</f>
        <v>230.6</v>
      </c>
      <c r="F12" s="21">
        <f>IF('Angen Presennol Nas Diwallwyd'!$C$28&gt;='Cyfrifiadau - Canol. &amp; De-orll'!F9,IF('Rhaniad y Ddeiliadaeth (Cymru)'!$D$7="Amcangyfrifon LlC",'Angen Presennol Nas Diwallwyd'!$C$10/'Angen Presennol Nas Diwallwyd'!$C$28,'Angen Presennol Nas Diwallwyd'!$C$19/'Angen Presennol Nas Diwallwyd'!$C$28),0)</f>
        <v>230.6</v>
      </c>
      <c r="G12" s="22">
        <f>IF('Angen Presennol Nas Diwallwyd'!$C$28&gt;='Cyfrifiadau - Canol. &amp; De-orll'!G9,IF('Rhaniad y Ddeiliadaeth (Cymru)'!$D$7="Amcangyfrifon LlC",'Angen Presennol Nas Diwallwyd'!$C$10/'Angen Presennol Nas Diwallwyd'!$C$28,'Angen Presennol Nas Diwallwyd'!$C$19/'Angen Presennol Nas Diwallwyd'!$C$28),0)</f>
        <v>230.6</v>
      </c>
    </row>
    <row r="13" spans="2:7" x14ac:dyDescent="0.25">
      <c r="B13" s="23" t="s">
        <v>152</v>
      </c>
      <c r="C13" s="211">
        <f>SUM(C11:C12)</f>
        <v>2014.6</v>
      </c>
      <c r="D13" s="211">
        <f t="shared" ref="D13:G13" si="0">SUM(D11:D12)</f>
        <v>1939.6</v>
      </c>
      <c r="E13" s="211">
        <f t="shared" si="0"/>
        <v>1938.6</v>
      </c>
      <c r="F13" s="211">
        <f t="shared" si="0"/>
        <v>2057.6</v>
      </c>
      <c r="G13" s="212">
        <f t="shared" si="0"/>
        <v>1932.6</v>
      </c>
    </row>
    <row r="14" spans="2:7" x14ac:dyDescent="0.25">
      <c r="C14" s="2"/>
      <c r="D14" s="2"/>
      <c r="E14" s="2"/>
      <c r="F14" s="2"/>
      <c r="G14" s="2"/>
    </row>
    <row r="15" spans="2:7" ht="18.75" x14ac:dyDescent="0.3">
      <c r="B15" s="197" t="s">
        <v>178</v>
      </c>
      <c r="C15" s="198"/>
      <c r="D15" s="198"/>
      <c r="E15" s="198"/>
      <c r="F15" s="198"/>
      <c r="G15" s="199"/>
    </row>
    <row r="16" spans="2:7" x14ac:dyDescent="0.25">
      <c r="B16" s="20"/>
      <c r="C16" s="12"/>
      <c r="D16" s="12"/>
      <c r="E16" s="12"/>
      <c r="F16" s="12"/>
      <c r="G16" s="186"/>
    </row>
    <row r="17" spans="2:16" x14ac:dyDescent="0.25">
      <c r="B17" s="187" t="s">
        <v>180</v>
      </c>
      <c r="C17" s="12"/>
      <c r="D17" s="12"/>
      <c r="E17" s="12"/>
      <c r="F17" s="12"/>
      <c r="G17" s="186"/>
    </row>
    <row r="18" spans="2:16" x14ac:dyDescent="0.25">
      <c r="B18" s="20" t="s">
        <v>179</v>
      </c>
      <c r="C18" s="57">
        <f>'Rhaniad y Ddeiliadaeth (C&amp;De-o)'!C112</f>
        <v>6112.6528154882299</v>
      </c>
      <c r="D18" s="57">
        <f>'Rhaniad y Ddeiliadaeth (C&amp;De-o)'!D112</f>
        <v>6293.1975895894948</v>
      </c>
      <c r="E18" s="57">
        <f>'Rhaniad y Ddeiliadaeth (C&amp;De-o)'!E112</f>
        <v>6485.7752490200419</v>
      </c>
      <c r="F18" s="57">
        <f>'Rhaniad y Ddeiliadaeth (C&amp;De-o)'!F112</f>
        <v>6688.211916811696</v>
      </c>
      <c r="G18" s="58">
        <f>'Rhaniad y Ddeiliadaeth (C&amp;De-o)'!G112</f>
        <v>6900.3382534060565</v>
      </c>
    </row>
    <row r="19" spans="2:16" x14ac:dyDescent="0.25">
      <c r="B19" s="20" t="s">
        <v>181</v>
      </c>
      <c r="C19" s="57">
        <f>C18/'Rhaniad y Ddeiliadaeth (C&amp;De-o)'!C108</f>
        <v>20375.509384960766</v>
      </c>
      <c r="D19" s="57">
        <f>D18/'Rhaniad y Ddeiliadaeth (C&amp;De-o)'!D108</f>
        <v>20977.325298631651</v>
      </c>
      <c r="E19" s="57">
        <f>E18/'Rhaniad y Ddeiliadaeth (C&amp;De-o)'!E108</f>
        <v>21619.250830066809</v>
      </c>
      <c r="F19" s="57">
        <f>F18/'Rhaniad y Ddeiliadaeth (C&amp;De-o)'!F108</f>
        <v>22294.039722705653</v>
      </c>
      <c r="G19" s="58">
        <f>G18/'Rhaniad y Ddeiliadaeth (C&amp;De-o)'!G108</f>
        <v>23001.127511353523</v>
      </c>
    </row>
    <row r="20" spans="2:16" x14ac:dyDescent="0.25">
      <c r="B20" s="20" t="s">
        <v>182</v>
      </c>
      <c r="C20" s="12">
        <f>IFERROR(INDEX('Incwm (Canol. &amp; De-orll)'!$AB$4:$AB$84,MATCH('Cyfrifiadau - Canol. &amp; De-orll'!C19,'Incwm (Canol. &amp; De-orll)'!AC$4:AC$84,1)),10)</f>
        <v>37</v>
      </c>
      <c r="D20" s="12">
        <f>IFERROR(INDEX('Incwm (Canol. &amp; De-orll)'!$AB$4:$AB$84,MATCH('Cyfrifiadau - Canol. &amp; De-orll'!D19,'Incwm (Canol. &amp; De-orll)'!AD$4:AD$84,1)),10)</f>
        <v>37</v>
      </c>
      <c r="E20" s="12">
        <f>IFERROR(INDEX('Incwm (Canol. &amp; De-orll)'!$AB$4:$AB$84,MATCH('Cyfrifiadau - Canol. &amp; De-orll'!E19,'Incwm (Canol. &amp; De-orll)'!AE$4:AE$84,1)),10)</f>
        <v>37</v>
      </c>
      <c r="F20" s="12">
        <f>IFERROR(INDEX('Incwm (Canol. &amp; De-orll)'!$AB$4:$AB$84,MATCH('Cyfrifiadau - Canol. &amp; De-orll'!F19,'Incwm (Canol. &amp; De-orll)'!AF$4:AF$84,1)),10)</f>
        <v>37</v>
      </c>
      <c r="G20" s="186">
        <f>IFERROR(INDEX('Incwm (Canol. &amp; De-orll)'!$AB$4:$AB$84,MATCH('Cyfrifiadau - Canol. &amp; De-orll'!G19,'Incwm (Canol. &amp; De-orll)'!AG$4:AG$84,1)),10)</f>
        <v>37</v>
      </c>
      <c r="P20" s="13"/>
    </row>
    <row r="21" spans="2:16" x14ac:dyDescent="0.25">
      <c r="B21" s="20" t="s">
        <v>255</v>
      </c>
      <c r="C21" s="200">
        <f>(100-C20)/100</f>
        <v>0.63</v>
      </c>
      <c r="D21" s="200">
        <f t="shared" ref="D21:G21" si="1">(100-D20)/100</f>
        <v>0.63</v>
      </c>
      <c r="E21" s="200">
        <f t="shared" si="1"/>
        <v>0.63</v>
      </c>
      <c r="F21" s="200">
        <f t="shared" si="1"/>
        <v>0.63</v>
      </c>
      <c r="G21" s="201">
        <f t="shared" si="1"/>
        <v>0.63</v>
      </c>
    </row>
    <row r="22" spans="2:16" x14ac:dyDescent="0.25">
      <c r="B22" s="259" t="s">
        <v>254</v>
      </c>
      <c r="C22" s="202">
        <f>C21*C11</f>
        <v>1123.92</v>
      </c>
      <c r="D22" s="202">
        <f>D21*D11</f>
        <v>1076.67</v>
      </c>
      <c r="E22" s="202">
        <f>E21*E11</f>
        <v>1076.04</v>
      </c>
      <c r="F22" s="202">
        <f>F21*F11</f>
        <v>1151.01</v>
      </c>
      <c r="G22" s="203">
        <f>G21*G11</f>
        <v>1072.26</v>
      </c>
    </row>
    <row r="23" spans="2:16" x14ac:dyDescent="0.25">
      <c r="B23" s="20"/>
      <c r="C23" s="12"/>
      <c r="D23" s="12"/>
      <c r="E23" s="12"/>
      <c r="F23" s="12"/>
      <c r="G23" s="186"/>
    </row>
    <row r="24" spans="2:16" x14ac:dyDescent="0.25">
      <c r="B24" s="20"/>
      <c r="C24" s="202"/>
      <c r="D24" s="202"/>
      <c r="E24" s="202"/>
      <c r="F24" s="202"/>
      <c r="G24" s="203"/>
    </row>
    <row r="25" spans="2:16" x14ac:dyDescent="0.25">
      <c r="B25" s="187" t="s">
        <v>184</v>
      </c>
      <c r="C25" s="202"/>
      <c r="D25" s="202"/>
      <c r="E25" s="202"/>
      <c r="F25" s="202"/>
      <c r="G25" s="203"/>
    </row>
    <row r="26" spans="2:16" x14ac:dyDescent="0.25">
      <c r="B26" s="20" t="s">
        <v>253</v>
      </c>
      <c r="C26" s="202">
        <f>C13-C22</f>
        <v>890.67999999999984</v>
      </c>
      <c r="D26" s="202">
        <f>D13-D22</f>
        <v>862.92999999999984</v>
      </c>
      <c r="E26" s="202">
        <f t="shared" ref="E26:G26" si="2">E13-E22</f>
        <v>862.56</v>
      </c>
      <c r="F26" s="202">
        <f t="shared" si="2"/>
        <v>906.58999999999992</v>
      </c>
      <c r="G26" s="203">
        <f t="shared" si="2"/>
        <v>860.33999999999992</v>
      </c>
    </row>
    <row r="27" spans="2:16" x14ac:dyDescent="0.25">
      <c r="B27" s="20"/>
      <c r="C27" s="202"/>
      <c r="D27" s="202"/>
      <c r="E27" s="202"/>
      <c r="F27" s="202"/>
      <c r="G27" s="203"/>
    </row>
    <row r="28" spans="2:16" x14ac:dyDescent="0.25">
      <c r="B28" s="187" t="s">
        <v>185</v>
      </c>
      <c r="C28" s="12"/>
      <c r="D28" s="12"/>
      <c r="E28" s="12"/>
      <c r="F28" s="12"/>
      <c r="G28" s="186"/>
    </row>
    <row r="29" spans="2:16" x14ac:dyDescent="0.25">
      <c r="B29" s="20" t="s">
        <v>186</v>
      </c>
      <c r="C29" s="21">
        <f>C22</f>
        <v>1123.92</v>
      </c>
      <c r="D29" s="21">
        <f>D22</f>
        <v>1076.67</v>
      </c>
      <c r="E29" s="21">
        <f>E22</f>
        <v>1076.04</v>
      </c>
      <c r="F29" s="21">
        <f>F22</f>
        <v>1151.01</v>
      </c>
      <c r="G29" s="22">
        <f>G22</f>
        <v>1072.26</v>
      </c>
    </row>
    <row r="30" spans="2:16" x14ac:dyDescent="0.25">
      <c r="B30" s="23" t="s">
        <v>184</v>
      </c>
      <c r="C30" s="25">
        <f>C26</f>
        <v>890.67999999999984</v>
      </c>
      <c r="D30" s="25">
        <f>D26</f>
        <v>862.92999999999984</v>
      </c>
      <c r="E30" s="25">
        <f>E26</f>
        <v>862.56</v>
      </c>
      <c r="F30" s="25">
        <f>F26</f>
        <v>906.58999999999992</v>
      </c>
      <c r="G30" s="26">
        <f>G26</f>
        <v>860.33999999999992</v>
      </c>
    </row>
    <row r="31" spans="2:16" x14ac:dyDescent="0.25">
      <c r="C31" s="6"/>
      <c r="D31" s="6"/>
      <c r="E31" s="6"/>
      <c r="F31" s="6"/>
      <c r="G31" s="6"/>
    </row>
    <row r="32" spans="2:16" ht="18.75" x14ac:dyDescent="0.3">
      <c r="B32" s="197" t="s">
        <v>187</v>
      </c>
      <c r="C32" s="17"/>
      <c r="D32" s="17"/>
      <c r="E32" s="17"/>
      <c r="F32" s="17"/>
      <c r="G32" s="185"/>
    </row>
    <row r="33" spans="2:16" ht="21" customHeight="1" x14ac:dyDescent="0.25">
      <c r="B33" s="387" t="s">
        <v>188</v>
      </c>
      <c r="C33" s="388"/>
      <c r="D33" s="388"/>
      <c r="E33" s="388"/>
      <c r="F33" s="388"/>
      <c r="G33" s="389"/>
    </row>
    <row r="34" spans="2:16" x14ac:dyDescent="0.25">
      <c r="B34" s="20"/>
      <c r="C34" s="12"/>
      <c r="D34" s="12"/>
      <c r="E34" s="12"/>
      <c r="F34" s="12"/>
      <c r="G34" s="186"/>
    </row>
    <row r="35" spans="2:16" x14ac:dyDescent="0.25">
      <c r="B35" s="187" t="s">
        <v>189</v>
      </c>
      <c r="C35" s="12"/>
      <c r="D35" s="12"/>
      <c r="E35" s="12"/>
      <c r="F35" s="12"/>
      <c r="G35" s="186"/>
      <c r="P35" s="13"/>
    </row>
    <row r="36" spans="2:16" x14ac:dyDescent="0.25">
      <c r="B36" s="20" t="str">
        <f>"Canradd y Prynwyr sy'n Prynu Eiddo am y Tro Cyntaf: "&amp;'Rhaniad y Ddeiliadaeth (Cymru)'!C115</f>
        <v>Canradd y Prynwyr sy'n Prynu Eiddo am y Tro Cyntaf: 25</v>
      </c>
      <c r="C36" s="57">
        <f>INDEX('Prisiau Tai (Canol. &amp; De-orll)'!AC$4:AC$84,MATCH('Rhaniad y Ddeiliadaeth (C&amp;De-o)'!C115,'Prisiau Tai (Canol. &amp; De-orll)'!$AB$4:$AB$84,0))</f>
        <v>105411.57249254218</v>
      </c>
      <c r="D36" s="57">
        <f>INDEX('Prisiau Tai (Canol. &amp; De-orll)'!AD$4:AD$84,MATCH('Rhaniad y Ddeiliadaeth (C&amp;De-o)'!D115,'Prisiau Tai (Canol. &amp; De-orll)'!$AB$4:$AB$84,0))</f>
        <v>105646.27712914997</v>
      </c>
      <c r="E36" s="57">
        <f>INDEX('Prisiau Tai (Canol. &amp; De-orll)'!AE$4:AE$84,MATCH('Rhaniad y Ddeiliadaeth (C&amp;De-o)'!E115,'Prisiau Tai (Canol. &amp; De-orll)'!$AB$4:$AB$84,0))</f>
        <v>107920.24774667065</v>
      </c>
      <c r="F36" s="57">
        <f>INDEX('Prisiau Tai (Canol. &amp; De-orll)'!AF$4:AF$84,MATCH('Rhaniad y Ddeiliadaeth (C&amp;De-o)'!F115,'Prisiau Tai (Canol. &amp; De-orll)'!$AB$4:$AB$84,0))</f>
        <v>112129.04767537789</v>
      </c>
      <c r="G36" s="58">
        <f>INDEX('Prisiau Tai (Canol. &amp; De-orll)'!AG$4:AG$84,MATCH('Rhaniad y Ddeiliadaeth (C&amp;De-o)'!G115,'Prisiau Tai (Canol. &amp; De-orll)'!$AB$4:$AB$84,0))</f>
        <v>116780.15204019965</v>
      </c>
      <c r="P36" s="13"/>
    </row>
    <row r="37" spans="2:16" x14ac:dyDescent="0.25">
      <c r="B37" s="20" t="s">
        <v>181</v>
      </c>
      <c r="C37" s="57">
        <f>C36/'Rhaniad y Ddeiliadaeth (C&amp;De-o)'!C114</f>
        <v>27739.887498037417</v>
      </c>
      <c r="D37" s="57">
        <f>D36/'Rhaniad y Ddeiliadaeth (C&amp;De-o)'!D114</f>
        <v>27801.651876092099</v>
      </c>
      <c r="E37" s="57">
        <f>E36/'Rhaniad y Ddeiliadaeth (C&amp;De-o)'!E114</f>
        <v>28400.065196492276</v>
      </c>
      <c r="F37" s="57">
        <f>F36/'Rhaniad y Ddeiliadaeth (C&amp;De-o)'!F114</f>
        <v>29507.644125099447</v>
      </c>
      <c r="G37" s="58">
        <f>G36/'Rhaniad y Ddeiliadaeth (C&amp;De-o)'!G114</f>
        <v>30731.618957947278</v>
      </c>
      <c r="P37" s="13"/>
    </row>
    <row r="38" spans="2:16" x14ac:dyDescent="0.25">
      <c r="B38" s="20" t="s">
        <v>182</v>
      </c>
      <c r="C38" s="12">
        <f>IFERROR(INDEX('Incwm (Canol. &amp; De-orll)'!$AB$4:$AB$84,MATCH('Cyfrifiadau - Canol. &amp; De-orll'!C37,'Incwm (Canol. &amp; De-orll)'!AC$4:AC$84,1)),10)</f>
        <v>53</v>
      </c>
      <c r="D38" s="12">
        <f>IFERROR(INDEX('Incwm (Canol. &amp; De-orll)'!$AB$4:$AB$84,MATCH('Cyfrifiadau - Canol. &amp; De-orll'!D37,'Incwm (Canol. &amp; De-orll)'!AD$4:AD$84,1)),10)</f>
        <v>52</v>
      </c>
      <c r="E38" s="12">
        <f>IFERROR(INDEX('Incwm (Canol. &amp; De-orll)'!$AB$4:$AB$84,MATCH('Cyfrifiadau - Canol. &amp; De-orll'!E37,'Incwm (Canol. &amp; De-orll)'!AE$4:AE$84,1)),10)</f>
        <v>51</v>
      </c>
      <c r="F38" s="12">
        <f>IFERROR(INDEX('Incwm (Canol. &amp; De-orll)'!$AB$4:$AB$84,MATCH('Cyfrifiadau - Canol. &amp; De-orll'!F37,'Incwm (Canol. &amp; De-orll)'!AF$4:AF$84,1)),10)</f>
        <v>51</v>
      </c>
      <c r="G38" s="186">
        <f>IFERROR(INDEX('Incwm (Canol. &amp; De-orll)'!$AB$4:$AB$84,MATCH('Cyfrifiadau - Canol. &amp; De-orll'!G37,'Incwm (Canol. &amp; De-orll)'!AG$4:AG$84,1)),10)</f>
        <v>51</v>
      </c>
      <c r="P38" s="13"/>
    </row>
    <row r="39" spans="2:16" x14ac:dyDescent="0.25">
      <c r="B39" s="20" t="s">
        <v>183</v>
      </c>
      <c r="C39" s="200">
        <f>(100-C38)/100</f>
        <v>0.47</v>
      </c>
      <c r="D39" s="200">
        <f t="shared" ref="D39:G39" si="3">(100-D38)/100</f>
        <v>0.48</v>
      </c>
      <c r="E39" s="200">
        <f t="shared" si="3"/>
        <v>0.49</v>
      </c>
      <c r="F39" s="200">
        <f t="shared" si="3"/>
        <v>0.49</v>
      </c>
      <c r="G39" s="201">
        <f t="shared" si="3"/>
        <v>0.49</v>
      </c>
      <c r="P39" s="13"/>
    </row>
    <row r="40" spans="2:16" x14ac:dyDescent="0.25">
      <c r="B40" s="20" t="s">
        <v>256</v>
      </c>
      <c r="C40" s="200" t="e">
        <f>C39*'Rhaniad y Ddeiliadaeth (C&amp;De-o)'!C116</f>
        <v>#VALUE!</v>
      </c>
      <c r="D40" s="200" t="e">
        <f>D39*'Rhaniad y Ddeiliadaeth (C&amp;De-o)'!D116</f>
        <v>#VALUE!</v>
      </c>
      <c r="E40" s="200" t="e">
        <f>E39*'Rhaniad y Ddeiliadaeth (C&amp;De-o)'!E116</f>
        <v>#VALUE!</v>
      </c>
      <c r="F40" s="200" t="e">
        <f>F39*'Rhaniad y Ddeiliadaeth (C&amp;De-o)'!F116</f>
        <v>#VALUE!</v>
      </c>
      <c r="G40" s="201" t="e">
        <f>G39*'Rhaniad y Ddeiliadaeth (C&amp;De-o)'!G116</f>
        <v>#VALUE!</v>
      </c>
      <c r="P40" s="13"/>
    </row>
    <row r="41" spans="2:16" x14ac:dyDescent="0.25">
      <c r="B41" s="20" t="s">
        <v>189</v>
      </c>
      <c r="C41" s="204" t="e">
        <f>C40*C11</f>
        <v>#VALUE!</v>
      </c>
      <c r="D41" s="204" t="e">
        <f>D40*D11</f>
        <v>#VALUE!</v>
      </c>
      <c r="E41" s="204" t="e">
        <f>E40*E11</f>
        <v>#VALUE!</v>
      </c>
      <c r="F41" s="204" t="e">
        <f>F40*F11</f>
        <v>#VALUE!</v>
      </c>
      <c r="G41" s="205" t="e">
        <f>G40*G11</f>
        <v>#VALUE!</v>
      </c>
      <c r="P41" s="13"/>
    </row>
    <row r="42" spans="2:16" x14ac:dyDescent="0.25">
      <c r="B42" s="20"/>
      <c r="C42" s="204"/>
      <c r="D42" s="204"/>
      <c r="E42" s="204"/>
      <c r="F42" s="204"/>
      <c r="G42" s="205"/>
      <c r="P42" s="13"/>
    </row>
    <row r="43" spans="2:16" x14ac:dyDescent="0.25">
      <c r="B43" s="187" t="s">
        <v>190</v>
      </c>
      <c r="C43" s="204"/>
      <c r="D43" s="204"/>
      <c r="E43" s="204"/>
      <c r="F43" s="204"/>
      <c r="G43" s="205"/>
      <c r="P43" s="13"/>
    </row>
    <row r="44" spans="2:16" x14ac:dyDescent="0.25">
      <c r="B44" s="266" t="s">
        <v>257</v>
      </c>
      <c r="C44" s="21" t="e">
        <f>C22-C41</f>
        <v>#VALUE!</v>
      </c>
      <c r="D44" s="21" t="e">
        <f>D22-D41</f>
        <v>#VALUE!</v>
      </c>
      <c r="E44" s="21" t="e">
        <f>E22-E41</f>
        <v>#VALUE!</v>
      </c>
      <c r="F44" s="21" t="e">
        <f>F22-F41</f>
        <v>#VALUE!</v>
      </c>
      <c r="G44" s="22" t="e">
        <f>G22-G41</f>
        <v>#VALUE!</v>
      </c>
      <c r="P44" s="13"/>
    </row>
    <row r="45" spans="2:16" x14ac:dyDescent="0.25">
      <c r="B45" s="20"/>
      <c r="C45" s="21"/>
      <c r="D45" s="21"/>
      <c r="E45" s="21"/>
      <c r="F45" s="21"/>
      <c r="G45" s="22"/>
    </row>
    <row r="46" spans="2:16" x14ac:dyDescent="0.25">
      <c r="B46" s="187" t="s">
        <v>191</v>
      </c>
      <c r="C46" s="12"/>
      <c r="D46" s="12"/>
      <c r="E46" s="12"/>
      <c r="F46" s="12"/>
      <c r="G46" s="186"/>
    </row>
    <row r="47" spans="2:16" x14ac:dyDescent="0.25">
      <c r="B47" s="20" t="s">
        <v>258</v>
      </c>
      <c r="C47" s="57">
        <f>'Rhaniad y Ddeiliadaeth (C&amp;De-o)'!C113</f>
        <v>5556.9571049892993</v>
      </c>
      <c r="D47" s="57">
        <f>'Rhaniad y Ddeiliadaeth (C&amp;De-o)'!D113</f>
        <v>5721.0887178086305</v>
      </c>
      <c r="E47" s="57">
        <f>'Rhaniad y Ddeiliadaeth (C&amp;De-o)'!E113</f>
        <v>5896.1593172909452</v>
      </c>
      <c r="F47" s="57">
        <f>'Rhaniad y Ddeiliadaeth (C&amp;De-o)'!F113</f>
        <v>6080.1926516469939</v>
      </c>
      <c r="G47" s="58">
        <f>'Rhaniad y Ddeiliadaeth (C&amp;De-o)'!G113</f>
        <v>6273.0347758236858</v>
      </c>
    </row>
    <row r="48" spans="2:16" x14ac:dyDescent="0.25">
      <c r="B48" s="20" t="s">
        <v>198</v>
      </c>
      <c r="C48" s="57">
        <f>C47/'Rhaniad y Ddeiliadaeth (C&amp;De-o)'!C117</f>
        <v>15877.020299969428</v>
      </c>
      <c r="D48" s="57">
        <f>D47/'Rhaniad y Ddeiliadaeth (C&amp;De-o)'!D117</f>
        <v>16345.967765167517</v>
      </c>
      <c r="E48" s="57">
        <f>E47/'Rhaniad y Ddeiliadaeth (C&amp;De-o)'!E117</f>
        <v>16846.16947797413</v>
      </c>
      <c r="F48" s="57">
        <f>F47/'Rhaniad y Ddeiliadaeth (C&amp;De-o)'!F117</f>
        <v>17371.979004705699</v>
      </c>
      <c r="G48" s="58">
        <f>G47/'Rhaniad y Ddeiliadaeth (C&amp;De-o)'!G117</f>
        <v>17922.956502353391</v>
      </c>
    </row>
    <row r="49" spans="2:7" x14ac:dyDescent="0.25">
      <c r="B49" s="20" t="s">
        <v>182</v>
      </c>
      <c r="C49" s="12">
        <f>IFERROR(INDEX('Incwm (Canol. &amp; De-orll)'!$AB$4:$AB$84,MATCH('Cyfrifiadau - Canol. &amp; De-orll'!C48,'Incwm (Canol. &amp; De-orll)'!AC$4:AC$84,1)),10)</f>
        <v>23</v>
      </c>
      <c r="D49" s="12">
        <f>IFERROR(INDEX('Incwm (Canol. &amp; De-orll)'!$AB$4:$AB$84,MATCH('Cyfrifiadau - Canol. &amp; De-orll'!D48,'Incwm (Canol. &amp; De-orll)'!AD$4:AD$84,1)),10)</f>
        <v>24</v>
      </c>
      <c r="E49" s="12">
        <f>IFERROR(INDEX('Incwm (Canol. &amp; De-orll)'!$AB$4:$AB$84,MATCH('Cyfrifiadau - Canol. &amp; De-orll'!E48,'Incwm (Canol. &amp; De-orll)'!AE$4:AE$84,1)),10)</f>
        <v>24</v>
      </c>
      <c r="F49" s="12">
        <f>IFERROR(INDEX('Incwm (Canol. &amp; De-orll)'!$AB$4:$AB$84,MATCH('Cyfrifiadau - Canol. &amp; De-orll'!F48,'Incwm (Canol. &amp; De-orll)'!AF$4:AF$84,1)),10)</f>
        <v>24</v>
      </c>
      <c r="G49" s="186">
        <f>IFERROR(INDEX('Incwm (Canol. &amp; De-orll)'!$AB$4:$AB$84,MATCH('Cyfrifiadau - Canol. &amp; De-orll'!G48,'Incwm (Canol. &amp; De-orll)'!AG$4:AG$84,1)),10)</f>
        <v>25</v>
      </c>
    </row>
    <row r="50" spans="2:7" x14ac:dyDescent="0.25">
      <c r="B50" s="20" t="s">
        <v>197</v>
      </c>
      <c r="C50" s="200">
        <f>C49/100</f>
        <v>0.23</v>
      </c>
      <c r="D50" s="200">
        <f t="shared" ref="D50:G50" si="4">D49/100</f>
        <v>0.24</v>
      </c>
      <c r="E50" s="200">
        <f t="shared" si="4"/>
        <v>0.24</v>
      </c>
      <c r="F50" s="200">
        <f t="shared" si="4"/>
        <v>0.24</v>
      </c>
      <c r="G50" s="201">
        <f t="shared" si="4"/>
        <v>0.25</v>
      </c>
    </row>
    <row r="51" spans="2:7" x14ac:dyDescent="0.25">
      <c r="B51" s="20" t="s">
        <v>196</v>
      </c>
      <c r="C51" s="204">
        <f>C50*C11</f>
        <v>410.32</v>
      </c>
      <c r="D51" s="204">
        <f>D50*D11</f>
        <v>410.15999999999997</v>
      </c>
      <c r="E51" s="204">
        <f>E50*E11</f>
        <v>409.91999999999996</v>
      </c>
      <c r="F51" s="204">
        <f>F50*F11</f>
        <v>438.47999999999996</v>
      </c>
      <c r="G51" s="205">
        <f>G50*G11</f>
        <v>425.5</v>
      </c>
    </row>
    <row r="52" spans="2:7" x14ac:dyDescent="0.25">
      <c r="B52" s="20" t="s">
        <v>195</v>
      </c>
      <c r="C52" s="204">
        <f>C12</f>
        <v>230.6</v>
      </c>
      <c r="D52" s="204">
        <f>D12</f>
        <v>230.6</v>
      </c>
      <c r="E52" s="204">
        <f>E12</f>
        <v>230.6</v>
      </c>
      <c r="F52" s="204">
        <f>F12</f>
        <v>230.6</v>
      </c>
      <c r="G52" s="205">
        <f>G12</f>
        <v>230.6</v>
      </c>
    </row>
    <row r="53" spans="2:7" x14ac:dyDescent="0.25">
      <c r="B53" s="20" t="s">
        <v>194</v>
      </c>
      <c r="C53" s="204">
        <f>C52+C51</f>
        <v>640.91999999999996</v>
      </c>
      <c r="D53" s="204">
        <f t="shared" ref="D53:G53" si="5">D52+D51</f>
        <v>640.76</v>
      </c>
      <c r="E53" s="204">
        <f t="shared" si="5"/>
        <v>640.52</v>
      </c>
      <c r="F53" s="204">
        <f t="shared" si="5"/>
        <v>669.07999999999993</v>
      </c>
      <c r="G53" s="205">
        <f t="shared" si="5"/>
        <v>656.1</v>
      </c>
    </row>
    <row r="54" spans="2:7" x14ac:dyDescent="0.25">
      <c r="B54" s="20"/>
      <c r="C54" s="12"/>
      <c r="D54" s="12"/>
      <c r="E54" s="12"/>
      <c r="F54" s="12"/>
      <c r="G54" s="186"/>
    </row>
    <row r="55" spans="2:7" x14ac:dyDescent="0.25">
      <c r="B55" s="187" t="s">
        <v>192</v>
      </c>
      <c r="C55" s="12"/>
      <c r="D55" s="12"/>
      <c r="E55" s="12"/>
      <c r="F55" s="12"/>
      <c r="G55" s="186"/>
    </row>
    <row r="56" spans="2:7" x14ac:dyDescent="0.25">
      <c r="B56" s="206" t="s">
        <v>288</v>
      </c>
      <c r="C56" s="204" t="e">
        <f>C11-C41-C44-C51</f>
        <v>#VALUE!</v>
      </c>
      <c r="D56" s="204" t="e">
        <f>D11-D41-D44-D51</f>
        <v>#VALUE!</v>
      </c>
      <c r="E56" s="204" t="e">
        <f>E11-E41-E44-E51</f>
        <v>#VALUE!</v>
      </c>
      <c r="F56" s="204" t="e">
        <f>F11-F41-F44-F51</f>
        <v>#VALUE!</v>
      </c>
      <c r="G56" s="205" t="e">
        <f>G11-G41-G44-G51</f>
        <v>#VALUE!</v>
      </c>
    </row>
    <row r="57" spans="2:7" x14ac:dyDescent="0.25">
      <c r="B57" s="20"/>
      <c r="C57" s="12"/>
      <c r="D57" s="12"/>
      <c r="E57" s="12"/>
      <c r="F57" s="12"/>
      <c r="G57" s="186"/>
    </row>
    <row r="58" spans="2:7" x14ac:dyDescent="0.25">
      <c r="B58" s="187" t="s">
        <v>185</v>
      </c>
      <c r="C58" s="12"/>
      <c r="D58" s="12"/>
      <c r="E58" s="12"/>
      <c r="F58" s="12"/>
      <c r="G58" s="186"/>
    </row>
    <row r="59" spans="2:7" x14ac:dyDescent="0.25">
      <c r="B59" s="20" t="s">
        <v>193</v>
      </c>
      <c r="C59" s="21" t="e">
        <f>C41</f>
        <v>#VALUE!</v>
      </c>
      <c r="D59" s="21" t="e">
        <f>D41</f>
        <v>#VALUE!</v>
      </c>
      <c r="E59" s="21" t="e">
        <f>E41</f>
        <v>#VALUE!</v>
      </c>
      <c r="F59" s="21" t="e">
        <f>F41</f>
        <v>#VALUE!</v>
      </c>
      <c r="G59" s="22" t="e">
        <f>G41</f>
        <v>#VALUE!</v>
      </c>
    </row>
    <row r="60" spans="2:7" x14ac:dyDescent="0.25">
      <c r="B60" s="20" t="s">
        <v>190</v>
      </c>
      <c r="C60" s="21" t="e">
        <f>C44</f>
        <v>#VALUE!</v>
      </c>
      <c r="D60" s="21" t="e">
        <f>D44</f>
        <v>#VALUE!</v>
      </c>
      <c r="E60" s="21" t="e">
        <f>E44</f>
        <v>#VALUE!</v>
      </c>
      <c r="F60" s="21" t="e">
        <f>F44</f>
        <v>#VALUE!</v>
      </c>
      <c r="G60" s="22" t="e">
        <f>G44</f>
        <v>#VALUE!</v>
      </c>
    </row>
    <row r="61" spans="2:7" x14ac:dyDescent="0.25">
      <c r="B61" s="20" t="s">
        <v>191</v>
      </c>
      <c r="C61" s="21">
        <f>C53</f>
        <v>640.91999999999996</v>
      </c>
      <c r="D61" s="21">
        <f>D53</f>
        <v>640.76</v>
      </c>
      <c r="E61" s="21">
        <f>E53</f>
        <v>640.52</v>
      </c>
      <c r="F61" s="21">
        <f>F53</f>
        <v>669.07999999999993</v>
      </c>
      <c r="G61" s="22">
        <f>G53</f>
        <v>656.1</v>
      </c>
    </row>
    <row r="62" spans="2:7" x14ac:dyDescent="0.25">
      <c r="B62" s="23" t="s">
        <v>192</v>
      </c>
      <c r="C62" s="25" t="e">
        <f>C56</f>
        <v>#VALUE!</v>
      </c>
      <c r="D62" s="25" t="e">
        <f>D56</f>
        <v>#VALUE!</v>
      </c>
      <c r="E62" s="25" t="e">
        <f>E56</f>
        <v>#VALUE!</v>
      </c>
      <c r="F62" s="25" t="e">
        <f>F56</f>
        <v>#VALUE!</v>
      </c>
      <c r="G62" s="26" t="e">
        <f>G56</f>
        <v>#VALUE!</v>
      </c>
    </row>
  </sheetData>
  <sheetProtection sheet="1" objects="1" scenarios="1"/>
  <mergeCells count="2">
    <mergeCell ref="B3:G6"/>
    <mergeCell ref="B33:G33"/>
  </mergeCells>
  <pageMargins left="0.7" right="0.7" top="0.75" bottom="0.75" header="0.3" footer="0.3"/>
  <pageSetup paperSize="9" scale="62" orientation="portrait" horizontalDpi="300" verticalDpi="3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pageSetUpPr fitToPage="1"/>
  </sheetPr>
  <dimension ref="B1:P62"/>
  <sheetViews>
    <sheetView showGridLines="0" workbookViewId="0"/>
  </sheetViews>
  <sheetFormatPr defaultColWidth="9.140625" defaultRowHeight="15" x14ac:dyDescent="0.25"/>
  <cols>
    <col min="1" max="1" width="1.7109375" style="1" customWidth="1"/>
    <col min="2" max="2" width="81.140625" style="1" customWidth="1"/>
    <col min="3" max="6" width="11.5703125" style="1" bestFit="1" customWidth="1"/>
    <col min="7" max="7" width="11.42578125" style="1" customWidth="1"/>
    <col min="8" max="8" width="9.140625" style="1"/>
    <col min="9" max="9" width="9.140625" style="13"/>
    <col min="10" max="16384" width="9.140625" style="1"/>
  </cols>
  <sheetData>
    <row r="1" spans="2:8" ht="18.75" x14ac:dyDescent="0.3">
      <c r="B1" s="10" t="s">
        <v>122</v>
      </c>
    </row>
    <row r="2" spans="2:8" ht="14.25" customHeight="1" x14ac:dyDescent="0.3">
      <c r="B2" s="10"/>
    </row>
    <row r="3" spans="2:8" ht="15" customHeight="1" x14ac:dyDescent="0.25">
      <c r="B3" s="390" t="s">
        <v>176</v>
      </c>
      <c r="C3" s="391"/>
      <c r="D3" s="391"/>
      <c r="E3" s="391"/>
      <c r="F3" s="391"/>
      <c r="G3" s="392"/>
    </row>
    <row r="4" spans="2:8" x14ac:dyDescent="0.25">
      <c r="B4" s="393"/>
      <c r="C4" s="394"/>
      <c r="D4" s="394"/>
      <c r="E4" s="394"/>
      <c r="F4" s="394"/>
      <c r="G4" s="395"/>
    </row>
    <row r="5" spans="2:8" x14ac:dyDescent="0.25">
      <c r="B5" s="393"/>
      <c r="C5" s="394"/>
      <c r="D5" s="394"/>
      <c r="E5" s="394"/>
      <c r="F5" s="394"/>
      <c r="G5" s="395"/>
    </row>
    <row r="6" spans="2:8" x14ac:dyDescent="0.25">
      <c r="B6" s="396"/>
      <c r="C6" s="397"/>
      <c r="D6" s="397"/>
      <c r="E6" s="397"/>
      <c r="F6" s="397"/>
      <c r="G6" s="398"/>
    </row>
    <row r="7" spans="2:8" ht="18.75" x14ac:dyDescent="0.3">
      <c r="B7" s="10"/>
    </row>
    <row r="8" spans="2:8" ht="18.75" x14ac:dyDescent="0.3">
      <c r="B8" s="197" t="s">
        <v>177</v>
      </c>
      <c r="C8" s="17"/>
      <c r="D8" s="17"/>
      <c r="E8" s="17"/>
      <c r="F8" s="17"/>
      <c r="G8" s="185"/>
    </row>
    <row r="9" spans="2:8" ht="18.75" x14ac:dyDescent="0.3">
      <c r="B9" s="244"/>
      <c r="C9" s="12">
        <v>1</v>
      </c>
      <c r="D9" s="12">
        <v>2</v>
      </c>
      <c r="E9" s="12">
        <v>3</v>
      </c>
      <c r="F9" s="36">
        <v>4</v>
      </c>
      <c r="G9" s="186">
        <v>5</v>
      </c>
    </row>
    <row r="10" spans="2:8" x14ac:dyDescent="0.25">
      <c r="B10" s="20"/>
      <c r="C10" s="209" t="s">
        <v>0</v>
      </c>
      <c r="D10" s="209" t="s">
        <v>1</v>
      </c>
      <c r="E10" s="209" t="s">
        <v>2</v>
      </c>
      <c r="F10" s="209" t="s">
        <v>3</v>
      </c>
      <c r="G10" s="210" t="s">
        <v>4</v>
      </c>
    </row>
    <row r="11" spans="2:8" x14ac:dyDescent="0.25">
      <c r="B11" s="20" t="s">
        <v>142</v>
      </c>
      <c r="C11" s="21">
        <f t="array" ref="C11">INDEX('Angen Sydd Newydd Ymddangos'!D8:D31,MATCH(1,($B$1='Angen Sydd Newydd Ymddangos'!$C$8:$C$31)*('Rhaniad y Ddeiliadaeth (Cymru)'!$D$6='Angen Sydd Newydd Ymddangos'!$B$8:$B$31),0))</f>
        <v>4054</v>
      </c>
      <c r="D11" s="21">
        <f t="array" ref="D11">INDEX('Angen Sydd Newydd Ymddangos'!E8:E31,MATCH(1,($B$1='Angen Sydd Newydd Ymddangos'!$C$8:$C$31)*('Rhaniad y Ddeiliadaeth (Cymru)'!$D$6='Angen Sydd Newydd Ymddangos'!$B$8:$B$31),0))</f>
        <v>3949</v>
      </c>
      <c r="E11" s="21">
        <f t="array" ref="E11">INDEX('Angen Sydd Newydd Ymddangos'!F8:F31,MATCH(1,($B$1='Angen Sydd Newydd Ymddangos'!$C$8:$C$31)*('Rhaniad y Ddeiliadaeth (Cymru)'!$D$6='Angen Sydd Newydd Ymddangos'!$B$8:$B$31),0))</f>
        <v>4021</v>
      </c>
      <c r="F11" s="21">
        <f t="array" ref="F11">INDEX('Angen Sydd Newydd Ymddangos'!G8:G31,MATCH(1,($B$1='Angen Sydd Newydd Ymddangos'!$C$8:$C$31)*('Rhaniad y Ddeiliadaeth (Cymru)'!$D$6='Angen Sydd Newydd Ymddangos'!$B$8:$B$31),0))</f>
        <v>4285</v>
      </c>
      <c r="G11" s="22">
        <f t="array" ref="G11">INDEX('Angen Sydd Newydd Ymddangos'!H8:H31,MATCH(1,($B$1='Angen Sydd Newydd Ymddangos'!$C$8:$C$31)*('Rhaniad y Ddeiliadaeth (Cymru)'!$D$6='Angen Sydd Newydd Ymddangos'!$B$8:$B$31),0))</f>
        <v>4109</v>
      </c>
    </row>
    <row r="12" spans="2:8" x14ac:dyDescent="0.25">
      <c r="B12" s="20" t="s">
        <v>151</v>
      </c>
      <c r="C12" s="21">
        <f>IF('Angen Presennol Nas Diwallwyd'!$C$28&gt;='Cyfrifiadau - De-ddwyrain'!C9,IF('Rhaniad y Ddeiliadaeth (Cymru)'!$D$7="Amcangyfrifon LlC",'Angen Presennol Nas Diwallwyd'!$C$11/'Angen Presennol Nas Diwallwyd'!$C$28,'Angen Presennol Nas Diwallwyd'!$C$20/'Angen Presennol Nas Diwallwyd'!$C$28),0)</f>
        <v>649.4</v>
      </c>
      <c r="D12" s="21">
        <f>IF('Angen Presennol Nas Diwallwyd'!$C$28&gt;='Cyfrifiadau - De-ddwyrain'!D9,IF('Rhaniad y Ddeiliadaeth (Cymru)'!$D$7="Amcangyfrifon LlC",'Angen Presennol Nas Diwallwyd'!$C$11/'Angen Presennol Nas Diwallwyd'!$C$28,'Angen Presennol Nas Diwallwyd'!$C$20/'Angen Presennol Nas Diwallwyd'!$C$28),0)</f>
        <v>649.4</v>
      </c>
      <c r="E12" s="21">
        <f>IF('Angen Presennol Nas Diwallwyd'!$C$28&gt;='Cyfrifiadau - De-ddwyrain'!E9,IF('Rhaniad y Ddeiliadaeth (Cymru)'!$D$7="Amcangyfrifon LlC",'Angen Presennol Nas Diwallwyd'!$C$11/'Angen Presennol Nas Diwallwyd'!$C$28,'Angen Presennol Nas Diwallwyd'!$C$20/'Angen Presennol Nas Diwallwyd'!$C$28),0)</f>
        <v>649.4</v>
      </c>
      <c r="F12" s="21">
        <f>IF('Angen Presennol Nas Diwallwyd'!$C$28&gt;='Cyfrifiadau - De-ddwyrain'!F9,IF('Rhaniad y Ddeiliadaeth (Cymru)'!$D$7="Amcangyfrifon LlC",'Angen Presennol Nas Diwallwyd'!$C$11/'Angen Presennol Nas Diwallwyd'!$C$28,'Angen Presennol Nas Diwallwyd'!$C$20/'Angen Presennol Nas Diwallwyd'!$C$28),0)</f>
        <v>649.4</v>
      </c>
      <c r="G12" s="22">
        <f>IF('Angen Presennol Nas Diwallwyd'!$C$28&gt;='Cyfrifiadau - De-ddwyrain'!G9,IF('Rhaniad y Ddeiliadaeth (Cymru)'!$D$7="Amcangyfrifon LlC",'Angen Presennol Nas Diwallwyd'!$C$11/'Angen Presennol Nas Diwallwyd'!$C$28,'Angen Presennol Nas Diwallwyd'!$C$20/'Angen Presennol Nas Diwallwyd'!$C$28),0)</f>
        <v>649.4</v>
      </c>
      <c r="H12" s="143"/>
    </row>
    <row r="13" spans="2:8" x14ac:dyDescent="0.25">
      <c r="B13" s="23" t="s">
        <v>152</v>
      </c>
      <c r="C13" s="211">
        <f>SUM(C11:C12)</f>
        <v>4703.3999999999996</v>
      </c>
      <c r="D13" s="211">
        <f t="shared" ref="D13:G13" si="0">SUM(D11:D12)</f>
        <v>4598.3999999999996</v>
      </c>
      <c r="E13" s="211">
        <f t="shared" si="0"/>
        <v>4670.3999999999996</v>
      </c>
      <c r="F13" s="211">
        <f t="shared" si="0"/>
        <v>4934.3999999999996</v>
      </c>
      <c r="G13" s="212">
        <f t="shared" si="0"/>
        <v>4758.3999999999996</v>
      </c>
    </row>
    <row r="14" spans="2:8" x14ac:dyDescent="0.25">
      <c r="C14" s="2"/>
      <c r="D14" s="2"/>
      <c r="E14" s="2"/>
      <c r="F14" s="2"/>
      <c r="G14" s="2"/>
    </row>
    <row r="15" spans="2:8" ht="18.75" x14ac:dyDescent="0.3">
      <c r="B15" s="197" t="s">
        <v>178</v>
      </c>
      <c r="C15" s="198"/>
      <c r="D15" s="198"/>
      <c r="E15" s="198"/>
      <c r="F15" s="198"/>
      <c r="G15" s="199"/>
    </row>
    <row r="16" spans="2:8" x14ac:dyDescent="0.25">
      <c r="B16" s="20"/>
      <c r="C16" s="12"/>
      <c r="D16" s="12"/>
      <c r="E16" s="12"/>
      <c r="F16" s="12"/>
      <c r="G16" s="186"/>
    </row>
    <row r="17" spans="2:16" x14ac:dyDescent="0.25">
      <c r="B17" s="187" t="s">
        <v>180</v>
      </c>
      <c r="C17" s="12"/>
      <c r="D17" s="12"/>
      <c r="E17" s="12"/>
      <c r="F17" s="12"/>
      <c r="G17" s="186"/>
    </row>
    <row r="18" spans="2:16" x14ac:dyDescent="0.25">
      <c r="B18" s="20" t="s">
        <v>179</v>
      </c>
      <c r="C18" s="57">
        <f>'Rhaniad y Ddeiliadaeth (De-ddn)'!C112</f>
        <v>6791.8364616535882</v>
      </c>
      <c r="D18" s="57">
        <f>'Rhaniad y Ddeiliadaeth (De-ddn)'!D112</f>
        <v>6992.4417662105488</v>
      </c>
      <c r="E18" s="57">
        <f>'Rhaniad y Ddeiliadaeth (De-ddn)'!E112</f>
        <v>7206.4169433556008</v>
      </c>
      <c r="F18" s="57">
        <f>'Rhaniad y Ddeiliadaeth (De-ddn)'!F112</f>
        <v>7431.3465742352164</v>
      </c>
      <c r="G18" s="58">
        <f>'Rhaniad y Ddeiliadaeth (De-ddn)'!G112</f>
        <v>7667.0425037845062</v>
      </c>
    </row>
    <row r="19" spans="2:16" x14ac:dyDescent="0.25">
      <c r="B19" s="20" t="s">
        <v>181</v>
      </c>
      <c r="C19" s="57">
        <f>C18/'Rhaniad y Ddeiliadaeth (De-ddn)'!C108</f>
        <v>22639.454872178627</v>
      </c>
      <c r="D19" s="57">
        <f>D18/'Rhaniad y Ddeiliadaeth (De-ddn)'!D108</f>
        <v>23308.139220701829</v>
      </c>
      <c r="E19" s="57">
        <f>E18/'Rhaniad y Ddeiliadaeth (De-ddn)'!E108</f>
        <v>24021.389811185338</v>
      </c>
      <c r="F19" s="57">
        <f>F18/'Rhaniad y Ddeiliadaeth (De-ddn)'!F108</f>
        <v>24771.155247450723</v>
      </c>
      <c r="G19" s="58">
        <f>G18/'Rhaniad y Ddeiliadaeth (De-ddn)'!G108</f>
        <v>25556.808345948353</v>
      </c>
    </row>
    <row r="20" spans="2:16" x14ac:dyDescent="0.25">
      <c r="B20" s="20" t="s">
        <v>182</v>
      </c>
      <c r="C20" s="12">
        <f>IFERROR(INDEX('Incwm (De-ddwyrain)'!$AB$4:$AB$84,MATCH('Cyfrifiadau - De-ddwyrain'!C19,'Incwm (De-ddwyrain)'!AC$4:AC$84,1)),10)</f>
        <v>40</v>
      </c>
      <c r="D20" s="12">
        <f>IFERROR(INDEX('Incwm (De-ddwyrain)'!$AB$4:$AB$84,MATCH('Cyfrifiadau - De-ddwyrain'!D19,'Incwm (De-ddwyrain)'!AD$4:AD$84,1)),10)</f>
        <v>40</v>
      </c>
      <c r="E20" s="12">
        <f>IFERROR(INDEX('Incwm (De-ddwyrain)'!$AB$4:$AB$84,MATCH('Cyfrifiadau - De-ddwyrain'!E19,'Incwm (De-ddwyrain)'!AE$4:AE$84,1)),10)</f>
        <v>40</v>
      </c>
      <c r="F20" s="12">
        <f>IFERROR(INDEX('Incwm (De-ddwyrain)'!$AB$4:$AB$84,MATCH('Cyfrifiadau - De-ddwyrain'!F19,'Incwm (De-ddwyrain)'!AF$4:AF$84,1)),10)</f>
        <v>40</v>
      </c>
      <c r="G20" s="186">
        <f>IFERROR(INDEX('Incwm (De-ddwyrain)'!$AB$4:$AB$84,MATCH('Cyfrifiadau - De-ddwyrain'!G19,'Incwm (De-ddwyrain)'!AG$4:AG$84,1)),10)</f>
        <v>40</v>
      </c>
      <c r="P20" s="13"/>
    </row>
    <row r="21" spans="2:16" x14ac:dyDescent="0.25">
      <c r="B21" s="20" t="s">
        <v>255</v>
      </c>
      <c r="C21" s="200">
        <f>(100-C20)/100</f>
        <v>0.6</v>
      </c>
      <c r="D21" s="200">
        <f t="shared" ref="D21:G21" si="1">(100-D20)/100</f>
        <v>0.6</v>
      </c>
      <c r="E21" s="200">
        <f t="shared" si="1"/>
        <v>0.6</v>
      </c>
      <c r="F21" s="200">
        <f t="shared" si="1"/>
        <v>0.6</v>
      </c>
      <c r="G21" s="201">
        <f t="shared" si="1"/>
        <v>0.6</v>
      </c>
    </row>
    <row r="22" spans="2:16" x14ac:dyDescent="0.25">
      <c r="B22" s="259" t="s">
        <v>254</v>
      </c>
      <c r="C22" s="202">
        <f>C21*C11</f>
        <v>2432.4</v>
      </c>
      <c r="D22" s="202">
        <f>D21*D11</f>
        <v>2369.4</v>
      </c>
      <c r="E22" s="202">
        <f>E21*E11</f>
        <v>2412.6</v>
      </c>
      <c r="F22" s="202">
        <f>F21*F11</f>
        <v>2571</v>
      </c>
      <c r="G22" s="203">
        <f>G21*G11</f>
        <v>2465.4</v>
      </c>
    </row>
    <row r="23" spans="2:16" x14ac:dyDescent="0.25">
      <c r="B23" s="20"/>
      <c r="C23" s="12"/>
      <c r="D23" s="12"/>
      <c r="E23" s="12"/>
      <c r="F23" s="12"/>
      <c r="G23" s="186"/>
    </row>
    <row r="24" spans="2:16" x14ac:dyDescent="0.25">
      <c r="B24" s="20"/>
      <c r="C24" s="202"/>
      <c r="D24" s="202"/>
      <c r="E24" s="202"/>
      <c r="F24" s="202"/>
      <c r="G24" s="203"/>
    </row>
    <row r="25" spans="2:16" x14ac:dyDescent="0.25">
      <c r="B25" s="187" t="s">
        <v>184</v>
      </c>
      <c r="C25" s="202"/>
      <c r="D25" s="202"/>
      <c r="E25" s="202"/>
      <c r="F25" s="202"/>
      <c r="G25" s="203"/>
    </row>
    <row r="26" spans="2:16" x14ac:dyDescent="0.25">
      <c r="B26" s="20" t="s">
        <v>253</v>
      </c>
      <c r="C26" s="202">
        <f>C13-C22</f>
        <v>2270.9999999999995</v>
      </c>
      <c r="D26" s="202">
        <f>D13-D22</f>
        <v>2228.9999999999995</v>
      </c>
      <c r="E26" s="202">
        <f t="shared" ref="E26:G26" si="2">E13-E22</f>
        <v>2257.7999999999997</v>
      </c>
      <c r="F26" s="202">
        <f t="shared" si="2"/>
        <v>2363.3999999999996</v>
      </c>
      <c r="G26" s="203">
        <f t="shared" si="2"/>
        <v>2292.9999999999995</v>
      </c>
    </row>
    <row r="27" spans="2:16" x14ac:dyDescent="0.25">
      <c r="B27" s="20"/>
      <c r="C27" s="202"/>
      <c r="D27" s="202"/>
      <c r="E27" s="202"/>
      <c r="F27" s="202"/>
      <c r="G27" s="203"/>
    </row>
    <row r="28" spans="2:16" x14ac:dyDescent="0.25">
      <c r="B28" s="187" t="s">
        <v>185</v>
      </c>
      <c r="C28" s="12"/>
      <c r="D28" s="12"/>
      <c r="E28" s="12"/>
      <c r="F28" s="12"/>
      <c r="G28" s="186"/>
    </row>
    <row r="29" spans="2:16" x14ac:dyDescent="0.25">
      <c r="B29" s="20" t="s">
        <v>186</v>
      </c>
      <c r="C29" s="21">
        <f>C22</f>
        <v>2432.4</v>
      </c>
      <c r="D29" s="21">
        <f>D22</f>
        <v>2369.4</v>
      </c>
      <c r="E29" s="21">
        <f>E22</f>
        <v>2412.6</v>
      </c>
      <c r="F29" s="21">
        <f>F22</f>
        <v>2571</v>
      </c>
      <c r="G29" s="22">
        <f>G22</f>
        <v>2465.4</v>
      </c>
    </row>
    <row r="30" spans="2:16" x14ac:dyDescent="0.25">
      <c r="B30" s="23" t="s">
        <v>184</v>
      </c>
      <c r="C30" s="25">
        <f>C26</f>
        <v>2270.9999999999995</v>
      </c>
      <c r="D30" s="25">
        <f>D26</f>
        <v>2228.9999999999995</v>
      </c>
      <c r="E30" s="25">
        <f>E26</f>
        <v>2257.7999999999997</v>
      </c>
      <c r="F30" s="25">
        <f>F26</f>
        <v>2363.3999999999996</v>
      </c>
      <c r="G30" s="26">
        <f>G26</f>
        <v>2292.9999999999995</v>
      </c>
    </row>
    <row r="31" spans="2:16" x14ac:dyDescent="0.25">
      <c r="C31" s="6"/>
      <c r="D31" s="6"/>
      <c r="E31" s="6"/>
      <c r="F31" s="6"/>
      <c r="G31" s="6"/>
    </row>
    <row r="32" spans="2:16" ht="18.75" x14ac:dyDescent="0.3">
      <c r="B32" s="197" t="s">
        <v>187</v>
      </c>
      <c r="C32" s="17"/>
      <c r="D32" s="17"/>
      <c r="E32" s="17"/>
      <c r="F32" s="17"/>
      <c r="G32" s="185"/>
    </row>
    <row r="33" spans="2:16" ht="21" customHeight="1" x14ac:dyDescent="0.25">
      <c r="B33" s="387" t="s">
        <v>188</v>
      </c>
      <c r="C33" s="388"/>
      <c r="D33" s="388"/>
      <c r="E33" s="388"/>
      <c r="F33" s="388"/>
      <c r="G33" s="389"/>
    </row>
    <row r="34" spans="2:16" x14ac:dyDescent="0.25">
      <c r="B34" s="20"/>
      <c r="C34" s="12"/>
      <c r="D34" s="12"/>
      <c r="E34" s="12"/>
      <c r="F34" s="12"/>
      <c r="G34" s="186"/>
    </row>
    <row r="35" spans="2:16" x14ac:dyDescent="0.25">
      <c r="B35" s="187" t="s">
        <v>189</v>
      </c>
      <c r="C35" s="12"/>
      <c r="D35" s="12"/>
      <c r="E35" s="12"/>
      <c r="F35" s="12"/>
      <c r="G35" s="186"/>
      <c r="P35" s="13"/>
    </row>
    <row r="36" spans="2:16" x14ac:dyDescent="0.25">
      <c r="B36" s="20" t="str">
        <f>"Canradd y Prynwyr sy'n Prynu Eiddo am y Tro Cyntaf: "&amp;'Rhaniad y Ddeiliadaeth (Cymru)'!C115</f>
        <v>Canradd y Prynwyr sy'n Prynu Eiddo am y Tro Cyntaf: 25</v>
      </c>
      <c r="C36" s="57">
        <f>INDEX('Prisiau Tai (De-ddwyrain)'!AC$4:AC$84,MATCH('Rhaniad y Ddeiliadaeth (De-ddn)'!C115,'Prisiau Tai (De-ddwyrain)'!$AB$4:$AB$84,0))</f>
        <v>109010.99204106801</v>
      </c>
      <c r="D36" s="57">
        <f>INDEX('Prisiau Tai (De-ddwyrain)'!AD$4:AD$84,MATCH('Rhaniad y Ddeiliadaeth (De-ddn)'!D115,'Prisiau Tai (De-ddwyrain)'!$AB$4:$AB$84,0))</f>
        <v>109253.71098234046</v>
      </c>
      <c r="E36" s="57">
        <f>INDEX('Prisiau Tai (De-ddwyrain)'!AE$4:AE$84,MATCH('Rhaniad y Ddeiliadaeth (De-ddn)'!E115,'Prisiau Tai (De-ddwyrain)'!$AB$4:$AB$84,0))</f>
        <v>111605.32937704478</v>
      </c>
      <c r="F36" s="57">
        <f>INDEX('Prisiau Tai (De-ddwyrain)'!AF$4:AF$84,MATCH('Rhaniad y Ddeiliadaeth (De-ddn)'!F115,'Prisiau Tai (De-ddwyrain)'!$AB$4:$AB$84,0))</f>
        <v>115957.84442526885</v>
      </c>
      <c r="G36" s="58">
        <f>INDEX('Prisiau Tai (De-ddwyrain)'!AG$4:AG$84,MATCH('Rhaniad y Ddeiliadaeth (De-ddn)'!G115,'Prisiau Tai (De-ddwyrain)'!$AB$4:$AB$84,0))</f>
        <v>120767.7669879138</v>
      </c>
      <c r="P36" s="13"/>
    </row>
    <row r="37" spans="2:16" x14ac:dyDescent="0.25">
      <c r="B37" s="20" t="s">
        <v>181</v>
      </c>
      <c r="C37" s="57">
        <f>C36/'Rhaniad y Ddeiliadaeth (De-ddn)'!C114</f>
        <v>28687.10316870211</v>
      </c>
      <c r="D37" s="57">
        <f>D36/'Rhaniad y Ddeiliadaeth (De-ddn)'!D114</f>
        <v>28750.976574300123</v>
      </c>
      <c r="E37" s="57">
        <f>E36/'Rhaniad y Ddeiliadaeth (De-ddn)'!E114</f>
        <v>29369.823520274942</v>
      </c>
      <c r="F37" s="57">
        <f>F36/'Rhaniad y Ddeiliadaeth (De-ddn)'!F114</f>
        <v>30515.222217176015</v>
      </c>
      <c r="G37" s="58">
        <f>G36/'Rhaniad y Ddeiliadaeth (De-ddn)'!G114</f>
        <v>31780.991312608894</v>
      </c>
      <c r="P37" s="13"/>
    </row>
    <row r="38" spans="2:16" x14ac:dyDescent="0.25">
      <c r="B38" s="20" t="s">
        <v>182</v>
      </c>
      <c r="C38" s="12">
        <f>IFERROR(INDEX('Incwm (De-ddwyrain)'!$AB$4:$AB$84,MATCH('Cyfrifiadau - De-ddwyrain'!C37,'Incwm (De-ddwyrain)'!AC$4:AC$84,1)),10)</f>
        <v>52</v>
      </c>
      <c r="D38" s="12">
        <f>IFERROR(INDEX('Incwm (De-ddwyrain)'!$AB$4:$AB$84,MATCH('Cyfrifiadau - De-ddwyrain'!D37,'Incwm (De-ddwyrain)'!AD$4:AD$84,1)),10)</f>
        <v>51</v>
      </c>
      <c r="E38" s="12">
        <f>IFERROR(INDEX('Incwm (De-ddwyrain)'!$AB$4:$AB$84,MATCH('Cyfrifiadau - De-ddwyrain'!E37,'Incwm (De-ddwyrain)'!AE$4:AE$84,1)),10)</f>
        <v>50</v>
      </c>
      <c r="F38" s="12">
        <f>IFERROR(INDEX('Incwm (De-ddwyrain)'!$AB$4:$AB$84,MATCH('Cyfrifiadau - De-ddwyrain'!F37,'Incwm (De-ddwyrain)'!AF$4:AF$84,1)),10)</f>
        <v>51</v>
      </c>
      <c r="G38" s="186">
        <f>IFERROR(INDEX('Incwm (De-ddwyrain)'!$AB$4:$AB$84,MATCH('Cyfrifiadau - De-ddwyrain'!G37,'Incwm (De-ddwyrain)'!AG$4:AG$84,1)),10)</f>
        <v>51</v>
      </c>
      <c r="P38" s="13"/>
    </row>
    <row r="39" spans="2:16" x14ac:dyDescent="0.25">
      <c r="B39" s="20" t="s">
        <v>183</v>
      </c>
      <c r="C39" s="200">
        <f>(100-C38)/100</f>
        <v>0.48</v>
      </c>
      <c r="D39" s="200">
        <f t="shared" ref="D39:G39" si="3">(100-D38)/100</f>
        <v>0.49</v>
      </c>
      <c r="E39" s="200">
        <f t="shared" si="3"/>
        <v>0.5</v>
      </c>
      <c r="F39" s="200">
        <f t="shared" si="3"/>
        <v>0.49</v>
      </c>
      <c r="G39" s="201">
        <f t="shared" si="3"/>
        <v>0.49</v>
      </c>
      <c r="P39" s="13"/>
    </row>
    <row r="40" spans="2:16" x14ac:dyDescent="0.25">
      <c r="B40" s="20" t="s">
        <v>256</v>
      </c>
      <c r="C40" s="200" t="e">
        <f>C39*'Rhaniad y Ddeiliadaeth (De-ddn)'!C116</f>
        <v>#VALUE!</v>
      </c>
      <c r="D40" s="200" t="e">
        <f>D39*'Rhaniad y Ddeiliadaeth (De-ddn)'!D116</f>
        <v>#VALUE!</v>
      </c>
      <c r="E40" s="200" t="e">
        <f>E39*'Rhaniad y Ddeiliadaeth (De-ddn)'!E116</f>
        <v>#VALUE!</v>
      </c>
      <c r="F40" s="200" t="e">
        <f>F39*'Rhaniad y Ddeiliadaeth (De-ddn)'!F116</f>
        <v>#VALUE!</v>
      </c>
      <c r="G40" s="201" t="e">
        <f>G39*'Rhaniad y Ddeiliadaeth (De-ddn)'!G116</f>
        <v>#VALUE!</v>
      </c>
      <c r="P40" s="13"/>
    </row>
    <row r="41" spans="2:16" x14ac:dyDescent="0.25">
      <c r="B41" s="20" t="s">
        <v>189</v>
      </c>
      <c r="C41" s="204" t="e">
        <f>C40*C11</f>
        <v>#VALUE!</v>
      </c>
      <c r="D41" s="204" t="e">
        <f>D40*D11</f>
        <v>#VALUE!</v>
      </c>
      <c r="E41" s="204" t="e">
        <f>E40*E11</f>
        <v>#VALUE!</v>
      </c>
      <c r="F41" s="204" t="e">
        <f>F40*F11</f>
        <v>#VALUE!</v>
      </c>
      <c r="G41" s="205" t="e">
        <f>G40*G11</f>
        <v>#VALUE!</v>
      </c>
      <c r="P41" s="13"/>
    </row>
    <row r="42" spans="2:16" x14ac:dyDescent="0.25">
      <c r="B42" s="20"/>
      <c r="C42" s="204"/>
      <c r="D42" s="204"/>
      <c r="E42" s="204"/>
      <c r="F42" s="204"/>
      <c r="G42" s="205"/>
      <c r="P42" s="13"/>
    </row>
    <row r="43" spans="2:16" x14ac:dyDescent="0.25">
      <c r="B43" s="187" t="s">
        <v>190</v>
      </c>
      <c r="C43" s="204"/>
      <c r="D43" s="204"/>
      <c r="E43" s="204"/>
      <c r="F43" s="204"/>
      <c r="G43" s="205"/>
      <c r="P43" s="13"/>
    </row>
    <row r="44" spans="2:16" x14ac:dyDescent="0.25">
      <c r="B44" s="266" t="s">
        <v>257</v>
      </c>
      <c r="C44" s="21" t="e">
        <f>C22-C41</f>
        <v>#VALUE!</v>
      </c>
      <c r="D44" s="21" t="e">
        <f>D22-D41</f>
        <v>#VALUE!</v>
      </c>
      <c r="E44" s="21" t="e">
        <f>E22-E41</f>
        <v>#VALUE!</v>
      </c>
      <c r="F44" s="21" t="e">
        <f>F22-F41</f>
        <v>#VALUE!</v>
      </c>
      <c r="G44" s="22" t="e">
        <f>G22-G41</f>
        <v>#VALUE!</v>
      </c>
      <c r="P44" s="13"/>
    </row>
    <row r="45" spans="2:16" x14ac:dyDescent="0.25">
      <c r="B45" s="20"/>
      <c r="C45" s="21"/>
      <c r="D45" s="21"/>
      <c r="E45" s="21"/>
      <c r="F45" s="21"/>
      <c r="G45" s="22"/>
    </row>
    <row r="46" spans="2:16" x14ac:dyDescent="0.25">
      <c r="B46" s="187" t="s">
        <v>191</v>
      </c>
      <c r="C46" s="12"/>
      <c r="D46" s="12"/>
      <c r="E46" s="12"/>
      <c r="F46" s="12"/>
      <c r="G46" s="186"/>
    </row>
    <row r="47" spans="2:16" x14ac:dyDescent="0.25">
      <c r="B47" s="20" t="s">
        <v>258</v>
      </c>
      <c r="C47" s="57">
        <f>'Rhaniad y Ddeiliadaeth (De-ddn)'!C113</f>
        <v>5865.9239200267048</v>
      </c>
      <c r="D47" s="57">
        <f>'Rhaniad y Ddeiliadaeth (De-ddn)'!D113</f>
        <v>6039.1812505187909</v>
      </c>
      <c r="E47" s="57">
        <f>'Rhaniad y Ddeiliadaeth (De-ddn)'!E113</f>
        <v>6223.9857753323231</v>
      </c>
      <c r="F47" s="57">
        <f>'Rhaniad y Ddeiliadaeth (De-ddn)'!F113</f>
        <v>6418.2513630785688</v>
      </c>
      <c r="G47" s="58">
        <f>'Rhaniad y Ddeiliadaeth (De-ddn)'!G113</f>
        <v>6621.8155093594842</v>
      </c>
    </row>
    <row r="48" spans="2:16" x14ac:dyDescent="0.25">
      <c r="B48" s="20" t="s">
        <v>198</v>
      </c>
      <c r="C48" s="57">
        <f>C47/'Rhaniad y Ddeiliadaeth (De-ddn)'!C117</f>
        <v>16759.782628647728</v>
      </c>
      <c r="D48" s="57">
        <f>D47/'Rhaniad y Ddeiliadaeth (De-ddn)'!D117</f>
        <v>17254.803572910831</v>
      </c>
      <c r="E48" s="57">
        <f>E47/'Rhaniad y Ddeiliadaeth (De-ddn)'!E117</f>
        <v>17782.816500949495</v>
      </c>
      <c r="F48" s="57">
        <f>F47/'Rhaniad y Ddeiliadaeth (De-ddn)'!F117</f>
        <v>18337.86103736734</v>
      </c>
      <c r="G48" s="58">
        <f>G47/'Rhaniad y Ddeiliadaeth (De-ddn)'!G117</f>
        <v>18919.472883884242</v>
      </c>
    </row>
    <row r="49" spans="2:7" x14ac:dyDescent="0.25">
      <c r="B49" s="20" t="s">
        <v>182</v>
      </c>
      <c r="C49" s="12">
        <f>IFERROR(INDEX('Incwm (De-ddwyrain)'!$AB$4:$AB$84,MATCH('Cyfrifiadau - De-ddwyrain'!C48,'Incwm (De-ddwyrain)'!AC$4:AC$84,1)),10)</f>
        <v>26</v>
      </c>
      <c r="D49" s="12">
        <f>IFERROR(INDEX('Incwm (De-ddwyrain)'!$AB$4:$AB$84,MATCH('Cyfrifiadau - De-ddwyrain'!D48,'Incwm (De-ddwyrain)'!AD$4:AD$84,1)),10)</f>
        <v>26</v>
      </c>
      <c r="E49" s="12">
        <f>IFERROR(INDEX('Incwm (De-ddwyrain)'!$AB$4:$AB$84,MATCH('Cyfrifiadau - De-ddwyrain'!E48,'Incwm (De-ddwyrain)'!AE$4:AE$84,1)),10)</f>
        <v>27</v>
      </c>
      <c r="F49" s="12">
        <f>IFERROR(INDEX('Incwm (De-ddwyrain)'!$AB$4:$AB$84,MATCH('Cyfrifiadau - De-ddwyrain'!F48,'Incwm (De-ddwyrain)'!AF$4:AF$84,1)),10)</f>
        <v>27</v>
      </c>
      <c r="G49" s="186">
        <f>IFERROR(INDEX('Incwm (De-ddwyrain)'!$AB$4:$AB$84,MATCH('Cyfrifiadau - De-ddwyrain'!G48,'Incwm (De-ddwyrain)'!AG$4:AG$84,1)),10)</f>
        <v>27</v>
      </c>
    </row>
    <row r="50" spans="2:7" x14ac:dyDescent="0.25">
      <c r="B50" s="20" t="s">
        <v>197</v>
      </c>
      <c r="C50" s="200">
        <f>C49/100</f>
        <v>0.26</v>
      </c>
      <c r="D50" s="200">
        <f t="shared" ref="D50:G50" si="4">D49/100</f>
        <v>0.26</v>
      </c>
      <c r="E50" s="200">
        <f t="shared" si="4"/>
        <v>0.27</v>
      </c>
      <c r="F50" s="200">
        <f t="shared" si="4"/>
        <v>0.27</v>
      </c>
      <c r="G50" s="201">
        <f t="shared" si="4"/>
        <v>0.27</v>
      </c>
    </row>
    <row r="51" spans="2:7" x14ac:dyDescent="0.25">
      <c r="B51" s="20" t="s">
        <v>196</v>
      </c>
      <c r="C51" s="204">
        <f>C50*C11</f>
        <v>1054.04</v>
      </c>
      <c r="D51" s="204">
        <f>D50*D11</f>
        <v>1026.74</v>
      </c>
      <c r="E51" s="204">
        <f>E50*E11</f>
        <v>1085.67</v>
      </c>
      <c r="F51" s="204">
        <f>F50*F11</f>
        <v>1156.95</v>
      </c>
      <c r="G51" s="205">
        <f>G50*G11</f>
        <v>1109.43</v>
      </c>
    </row>
    <row r="52" spans="2:7" x14ac:dyDescent="0.25">
      <c r="B52" s="20" t="s">
        <v>195</v>
      </c>
      <c r="C52" s="204">
        <f>C12</f>
        <v>649.4</v>
      </c>
      <c r="D52" s="204">
        <f>D12</f>
        <v>649.4</v>
      </c>
      <c r="E52" s="204">
        <f>E12</f>
        <v>649.4</v>
      </c>
      <c r="F52" s="204">
        <f>F12</f>
        <v>649.4</v>
      </c>
      <c r="G52" s="205">
        <f>G12</f>
        <v>649.4</v>
      </c>
    </row>
    <row r="53" spans="2:7" x14ac:dyDescent="0.25">
      <c r="B53" s="20" t="s">
        <v>194</v>
      </c>
      <c r="C53" s="204">
        <f>C52+C51</f>
        <v>1703.44</v>
      </c>
      <c r="D53" s="204">
        <f t="shared" ref="D53:G53" si="5">D52+D51</f>
        <v>1676.1399999999999</v>
      </c>
      <c r="E53" s="204">
        <f t="shared" si="5"/>
        <v>1735.0700000000002</v>
      </c>
      <c r="F53" s="204">
        <f t="shared" si="5"/>
        <v>1806.35</v>
      </c>
      <c r="G53" s="205">
        <f t="shared" si="5"/>
        <v>1758.83</v>
      </c>
    </row>
    <row r="54" spans="2:7" x14ac:dyDescent="0.25">
      <c r="B54" s="20"/>
      <c r="C54" s="12"/>
      <c r="D54" s="12"/>
      <c r="E54" s="12"/>
      <c r="F54" s="12"/>
      <c r="G54" s="186"/>
    </row>
    <row r="55" spans="2:7" x14ac:dyDescent="0.25">
      <c r="B55" s="187" t="s">
        <v>192</v>
      </c>
      <c r="C55" s="12"/>
      <c r="D55" s="12"/>
      <c r="E55" s="12"/>
      <c r="F55" s="12"/>
      <c r="G55" s="186"/>
    </row>
    <row r="56" spans="2:7" x14ac:dyDescent="0.25">
      <c r="B56" s="206" t="s">
        <v>288</v>
      </c>
      <c r="C56" s="204" t="e">
        <f>C11-C41-C44-C51</f>
        <v>#VALUE!</v>
      </c>
      <c r="D56" s="204" t="e">
        <f>D11-D41-D44-D51</f>
        <v>#VALUE!</v>
      </c>
      <c r="E56" s="204" t="e">
        <f>E11-E41-E44-E51</f>
        <v>#VALUE!</v>
      </c>
      <c r="F56" s="204" t="e">
        <f>F11-F41-F44-F51</f>
        <v>#VALUE!</v>
      </c>
      <c r="G56" s="205" t="e">
        <f>G11-G41-G44-G51</f>
        <v>#VALUE!</v>
      </c>
    </row>
    <row r="57" spans="2:7" x14ac:dyDescent="0.25">
      <c r="B57" s="20"/>
      <c r="C57" s="12"/>
      <c r="D57" s="12"/>
      <c r="E57" s="12"/>
      <c r="F57" s="12"/>
      <c r="G57" s="186"/>
    </row>
    <row r="58" spans="2:7" x14ac:dyDescent="0.25">
      <c r="B58" s="187" t="s">
        <v>185</v>
      </c>
      <c r="C58" s="12"/>
      <c r="D58" s="12"/>
      <c r="E58" s="12"/>
      <c r="F58" s="12"/>
      <c r="G58" s="186"/>
    </row>
    <row r="59" spans="2:7" x14ac:dyDescent="0.25">
      <c r="B59" s="20" t="s">
        <v>193</v>
      </c>
      <c r="C59" s="21" t="e">
        <f>C41</f>
        <v>#VALUE!</v>
      </c>
      <c r="D59" s="21" t="e">
        <f>D41</f>
        <v>#VALUE!</v>
      </c>
      <c r="E59" s="21" t="e">
        <f>E41</f>
        <v>#VALUE!</v>
      </c>
      <c r="F59" s="21" t="e">
        <f>F41</f>
        <v>#VALUE!</v>
      </c>
      <c r="G59" s="22" t="e">
        <f>G41</f>
        <v>#VALUE!</v>
      </c>
    </row>
    <row r="60" spans="2:7" x14ac:dyDescent="0.25">
      <c r="B60" s="20" t="s">
        <v>190</v>
      </c>
      <c r="C60" s="21" t="e">
        <f>C44</f>
        <v>#VALUE!</v>
      </c>
      <c r="D60" s="21" t="e">
        <f>D44</f>
        <v>#VALUE!</v>
      </c>
      <c r="E60" s="21" t="e">
        <f>E44</f>
        <v>#VALUE!</v>
      </c>
      <c r="F60" s="21" t="e">
        <f>F44</f>
        <v>#VALUE!</v>
      </c>
      <c r="G60" s="22" t="e">
        <f>G44</f>
        <v>#VALUE!</v>
      </c>
    </row>
    <row r="61" spans="2:7" x14ac:dyDescent="0.25">
      <c r="B61" s="20" t="s">
        <v>191</v>
      </c>
      <c r="C61" s="21">
        <f>C53</f>
        <v>1703.44</v>
      </c>
      <c r="D61" s="21">
        <f>D53</f>
        <v>1676.1399999999999</v>
      </c>
      <c r="E61" s="21">
        <f>E53</f>
        <v>1735.0700000000002</v>
      </c>
      <c r="F61" s="21">
        <f>F53</f>
        <v>1806.35</v>
      </c>
      <c r="G61" s="22">
        <f>G53</f>
        <v>1758.83</v>
      </c>
    </row>
    <row r="62" spans="2:7" x14ac:dyDescent="0.25">
      <c r="B62" s="23" t="s">
        <v>192</v>
      </c>
      <c r="C62" s="25" t="e">
        <f>C56</f>
        <v>#VALUE!</v>
      </c>
      <c r="D62" s="25" t="e">
        <f>D56</f>
        <v>#VALUE!</v>
      </c>
      <c r="E62" s="25" t="e">
        <f>E56</f>
        <v>#VALUE!</v>
      </c>
      <c r="F62" s="25" t="e">
        <f>F56</f>
        <v>#VALUE!</v>
      </c>
      <c r="G62" s="26" t="e">
        <f>G56</f>
        <v>#VALUE!</v>
      </c>
    </row>
  </sheetData>
  <sheetProtection sheet="1" objects="1" scenarios="1"/>
  <mergeCells count="2">
    <mergeCell ref="B3:G6"/>
    <mergeCell ref="B33:G33"/>
  </mergeCells>
  <pageMargins left="0.7" right="0.7" top="0.75" bottom="0.75" header="0.3" footer="0.3"/>
  <pageSetup paperSize="9" scale="62" orientation="portrait" horizontalDpi="300" verticalDpi="3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K28"/>
  <sheetViews>
    <sheetView showGridLines="0" zoomScale="90" zoomScaleNormal="90" workbookViewId="0"/>
  </sheetViews>
  <sheetFormatPr defaultRowHeight="15" x14ac:dyDescent="0.25"/>
  <cols>
    <col min="1" max="1" width="2.85546875" style="1" customWidth="1"/>
    <col min="2" max="3" width="29.85546875" bestFit="1" customWidth="1"/>
    <col min="4" max="8" width="13.28515625" bestFit="1" customWidth="1"/>
    <col min="9" max="9" width="13.28515625" customWidth="1"/>
    <col min="10" max="10" width="9.140625" hidden="1" customWidth="1"/>
  </cols>
  <sheetData>
    <row r="2" spans="2:9" s="3" customFormat="1" x14ac:dyDescent="0.25">
      <c r="B2" s="27" t="s">
        <v>175</v>
      </c>
      <c r="C2" s="28" t="s">
        <v>199</v>
      </c>
      <c r="D2" s="29">
        <v>2018</v>
      </c>
      <c r="E2" s="29">
        <v>2019</v>
      </c>
      <c r="F2" s="29">
        <v>2020</v>
      </c>
      <c r="G2" s="29">
        <v>2021</v>
      </c>
      <c r="H2" s="29">
        <v>2022</v>
      </c>
      <c r="I2" s="30">
        <v>2023</v>
      </c>
    </row>
    <row r="3" spans="2:9" x14ac:dyDescent="0.25">
      <c r="B3" s="16" t="s">
        <v>137</v>
      </c>
      <c r="C3" s="17" t="s">
        <v>120</v>
      </c>
      <c r="D3" s="18">
        <v>305707</v>
      </c>
      <c r="E3" s="18">
        <v>307088</v>
      </c>
      <c r="F3" s="18">
        <v>308395</v>
      </c>
      <c r="G3" s="18">
        <v>309695</v>
      </c>
      <c r="H3" s="18">
        <v>311079</v>
      </c>
      <c r="I3" s="19">
        <v>312386</v>
      </c>
    </row>
    <row r="4" spans="2:9" x14ac:dyDescent="0.25">
      <c r="B4" s="20" t="s">
        <v>137</v>
      </c>
      <c r="C4" s="12" t="s">
        <v>121</v>
      </c>
      <c r="D4" s="21">
        <v>398237</v>
      </c>
      <c r="E4" s="21">
        <v>400021</v>
      </c>
      <c r="F4" s="21">
        <v>401730</v>
      </c>
      <c r="G4" s="21">
        <v>403438</v>
      </c>
      <c r="H4" s="21">
        <v>405265</v>
      </c>
      <c r="I4" s="22">
        <v>406967</v>
      </c>
    </row>
    <row r="5" spans="2:9" x14ac:dyDescent="0.25">
      <c r="B5" s="20" t="s">
        <v>137</v>
      </c>
      <c r="C5" s="12" t="s">
        <v>122</v>
      </c>
      <c r="D5" s="21">
        <v>650496</v>
      </c>
      <c r="E5" s="21">
        <v>654550</v>
      </c>
      <c r="F5" s="21">
        <v>658499</v>
      </c>
      <c r="G5" s="21">
        <v>662520</v>
      </c>
      <c r="H5" s="21">
        <v>666805</v>
      </c>
      <c r="I5" s="22">
        <v>670914</v>
      </c>
    </row>
    <row r="6" spans="2:9" x14ac:dyDescent="0.25">
      <c r="B6" s="23" t="s">
        <v>137</v>
      </c>
      <c r="C6" s="24" t="s">
        <v>117</v>
      </c>
      <c r="D6" s="25">
        <f>SUM(D3:D5)</f>
        <v>1354440</v>
      </c>
      <c r="E6" s="25">
        <f t="shared" ref="E6:I6" si="0">SUM(E3:E5)</f>
        <v>1361659</v>
      </c>
      <c r="F6" s="25">
        <f t="shared" si="0"/>
        <v>1368624</v>
      </c>
      <c r="G6" s="25">
        <f t="shared" si="0"/>
        <v>1375653</v>
      </c>
      <c r="H6" s="25">
        <f t="shared" si="0"/>
        <v>1383149</v>
      </c>
      <c r="I6" s="26">
        <f t="shared" si="0"/>
        <v>1390267</v>
      </c>
    </row>
    <row r="7" spans="2:9" x14ac:dyDescent="0.25">
      <c r="B7" s="16" t="s">
        <v>141</v>
      </c>
      <c r="C7" s="17" t="s">
        <v>120</v>
      </c>
      <c r="D7" s="18">
        <v>306032</v>
      </c>
      <c r="E7" s="18">
        <v>307554</v>
      </c>
      <c r="F7" s="18">
        <v>309021</v>
      </c>
      <c r="G7" s="18">
        <v>310503</v>
      </c>
      <c r="H7" s="18">
        <v>312087</v>
      </c>
      <c r="I7" s="19">
        <v>313621</v>
      </c>
    </row>
    <row r="8" spans="2:9" x14ac:dyDescent="0.25">
      <c r="B8" s="20" t="s">
        <v>141</v>
      </c>
      <c r="C8" s="12" t="s">
        <v>121</v>
      </c>
      <c r="D8" s="21">
        <v>398640</v>
      </c>
      <c r="E8" s="21">
        <v>400599</v>
      </c>
      <c r="F8" s="21">
        <v>402507</v>
      </c>
      <c r="G8" s="21">
        <v>404439</v>
      </c>
      <c r="H8" s="21">
        <v>406517</v>
      </c>
      <c r="I8" s="22">
        <v>408502</v>
      </c>
    </row>
    <row r="9" spans="2:9" x14ac:dyDescent="0.25">
      <c r="B9" s="20" t="s">
        <v>141</v>
      </c>
      <c r="C9" s="12" t="s">
        <v>122</v>
      </c>
      <c r="D9" s="21">
        <v>651222</v>
      </c>
      <c r="E9" s="21">
        <v>655591</v>
      </c>
      <c r="F9" s="21">
        <v>659894</v>
      </c>
      <c r="G9" s="21">
        <v>664314</v>
      </c>
      <c r="H9" s="21">
        <v>669040</v>
      </c>
      <c r="I9" s="22">
        <v>673646</v>
      </c>
    </row>
    <row r="10" spans="2:9" x14ac:dyDescent="0.25">
      <c r="B10" s="23" t="s">
        <v>141</v>
      </c>
      <c r="C10" s="24" t="s">
        <v>117</v>
      </c>
      <c r="D10" s="25">
        <f>SUM(D7:D9)</f>
        <v>1355894</v>
      </c>
      <c r="E10" s="25">
        <f t="shared" ref="E10" si="1">SUM(E7:E9)</f>
        <v>1363744</v>
      </c>
      <c r="F10" s="25">
        <f t="shared" ref="F10" si="2">SUM(F7:F9)</f>
        <v>1371422</v>
      </c>
      <c r="G10" s="25">
        <f t="shared" ref="G10" si="3">SUM(G7:G9)</f>
        <v>1379256</v>
      </c>
      <c r="H10" s="25">
        <f t="shared" ref="H10" si="4">SUM(H7:H9)</f>
        <v>1387644</v>
      </c>
      <c r="I10" s="26">
        <f t="shared" ref="I10" si="5">SUM(I7:I9)</f>
        <v>1395769</v>
      </c>
    </row>
    <row r="11" spans="2:9" x14ac:dyDescent="0.25">
      <c r="B11" s="16" t="s">
        <v>140</v>
      </c>
      <c r="C11" s="17" t="s">
        <v>120</v>
      </c>
      <c r="D11" s="18">
        <v>305093</v>
      </c>
      <c r="E11" s="18">
        <v>306215</v>
      </c>
      <c r="F11" s="18">
        <v>307233</v>
      </c>
      <c r="G11" s="18">
        <v>308213</v>
      </c>
      <c r="H11" s="18">
        <v>309241</v>
      </c>
      <c r="I11" s="19">
        <v>310165</v>
      </c>
    </row>
    <row r="12" spans="2:9" x14ac:dyDescent="0.25">
      <c r="B12" s="20" t="s">
        <v>140</v>
      </c>
      <c r="C12" s="12" t="s">
        <v>121</v>
      </c>
      <c r="D12" s="21">
        <v>397459</v>
      </c>
      <c r="E12" s="21">
        <v>398919</v>
      </c>
      <c r="F12" s="21">
        <v>400267</v>
      </c>
      <c r="G12" s="21">
        <v>401573</v>
      </c>
      <c r="H12" s="21">
        <v>402957</v>
      </c>
      <c r="I12" s="22">
        <v>404179</v>
      </c>
    </row>
    <row r="13" spans="2:9" x14ac:dyDescent="0.25">
      <c r="B13" s="20" t="s">
        <v>140</v>
      </c>
      <c r="C13" s="12" t="s">
        <v>122</v>
      </c>
      <c r="D13" s="21">
        <v>649200</v>
      </c>
      <c r="E13" s="21">
        <v>652689</v>
      </c>
      <c r="F13" s="21">
        <v>655994</v>
      </c>
      <c r="G13" s="21">
        <v>659295</v>
      </c>
      <c r="H13" s="21">
        <v>662778</v>
      </c>
      <c r="I13" s="22">
        <v>666021</v>
      </c>
    </row>
    <row r="14" spans="2:9" x14ac:dyDescent="0.25">
      <c r="B14" s="23" t="s">
        <v>140</v>
      </c>
      <c r="C14" s="24" t="s">
        <v>117</v>
      </c>
      <c r="D14" s="25">
        <f>SUM(D11:D13)</f>
        <v>1351752</v>
      </c>
      <c r="E14" s="25">
        <f t="shared" ref="E14" si="6">SUM(E11:E13)</f>
        <v>1357823</v>
      </c>
      <c r="F14" s="25">
        <f t="shared" ref="F14" si="7">SUM(F11:F13)</f>
        <v>1363494</v>
      </c>
      <c r="G14" s="25">
        <f t="shared" ref="G14" si="8">SUM(G11:G13)</f>
        <v>1369081</v>
      </c>
      <c r="H14" s="25">
        <f t="shared" ref="H14" si="9">SUM(H11:H13)</f>
        <v>1374976</v>
      </c>
      <c r="I14" s="26">
        <f t="shared" ref="I14" si="10">SUM(I11:I13)</f>
        <v>1380365</v>
      </c>
    </row>
    <row r="15" spans="2:9" x14ac:dyDescent="0.25">
      <c r="B15" s="16" t="s">
        <v>138</v>
      </c>
      <c r="C15" s="17" t="s">
        <v>120</v>
      </c>
      <c r="D15" s="18">
        <v>303428</v>
      </c>
      <c r="E15" s="18">
        <v>304268</v>
      </c>
      <c r="F15" s="18">
        <v>305027</v>
      </c>
      <c r="G15" s="18">
        <v>305758</v>
      </c>
      <c r="H15" s="18">
        <v>306579</v>
      </c>
      <c r="I15" s="19">
        <v>307317</v>
      </c>
    </row>
    <row r="16" spans="2:9" x14ac:dyDescent="0.25">
      <c r="B16" s="20" t="s">
        <v>138</v>
      </c>
      <c r="C16" s="12" t="s">
        <v>121</v>
      </c>
      <c r="D16" s="21">
        <v>395759</v>
      </c>
      <c r="E16" s="21">
        <v>397088</v>
      </c>
      <c r="F16" s="21">
        <v>398257</v>
      </c>
      <c r="G16" s="21">
        <v>399254</v>
      </c>
      <c r="H16" s="21">
        <v>400348</v>
      </c>
      <c r="I16" s="22">
        <v>401328</v>
      </c>
    </row>
    <row r="17" spans="2:11" x14ac:dyDescent="0.25">
      <c r="B17" s="20" t="s">
        <v>138</v>
      </c>
      <c r="C17" s="12" t="s">
        <v>122</v>
      </c>
      <c r="D17" s="21">
        <v>649770</v>
      </c>
      <c r="E17" s="21">
        <v>653740</v>
      </c>
      <c r="F17" s="21">
        <v>657393</v>
      </c>
      <c r="G17" s="21">
        <v>660845</v>
      </c>
      <c r="H17" s="21">
        <v>664495</v>
      </c>
      <c r="I17" s="22">
        <v>667946</v>
      </c>
    </row>
    <row r="18" spans="2:11" x14ac:dyDescent="0.25">
      <c r="B18" s="23" t="s">
        <v>138</v>
      </c>
      <c r="C18" s="24" t="s">
        <v>117</v>
      </c>
      <c r="D18" s="25">
        <f>SUM(D15:D17)</f>
        <v>1348957</v>
      </c>
      <c r="E18" s="25">
        <f t="shared" ref="E18" si="11">SUM(E15:E17)</f>
        <v>1355096</v>
      </c>
      <c r="F18" s="25">
        <f t="shared" ref="F18" si="12">SUM(F15:F17)</f>
        <v>1360677</v>
      </c>
      <c r="G18" s="25">
        <f t="shared" ref="G18" si="13">SUM(G15:G17)</f>
        <v>1365857</v>
      </c>
      <c r="H18" s="25">
        <f t="shared" ref="H18" si="14">SUM(H15:H17)</f>
        <v>1371422</v>
      </c>
      <c r="I18" s="26">
        <f t="shared" ref="I18" si="15">SUM(I15:I17)</f>
        <v>1376591</v>
      </c>
    </row>
    <row r="19" spans="2:11" x14ac:dyDescent="0.25">
      <c r="B19" s="16" t="s">
        <v>139</v>
      </c>
      <c r="C19" s="17" t="s">
        <v>120</v>
      </c>
      <c r="D19" s="18">
        <v>306606</v>
      </c>
      <c r="E19" s="18">
        <v>308231</v>
      </c>
      <c r="F19" s="18">
        <v>309789</v>
      </c>
      <c r="G19" s="18">
        <v>311343</v>
      </c>
      <c r="H19" s="18">
        <v>312987</v>
      </c>
      <c r="I19" s="19">
        <v>314560</v>
      </c>
    </row>
    <row r="20" spans="2:11" x14ac:dyDescent="0.25">
      <c r="B20" s="20" t="s">
        <v>139</v>
      </c>
      <c r="C20" s="12" t="s">
        <v>121</v>
      </c>
      <c r="D20" s="21">
        <v>400118</v>
      </c>
      <c r="E20" s="21">
        <v>402399</v>
      </c>
      <c r="F20" s="21">
        <v>404608</v>
      </c>
      <c r="G20" s="21">
        <v>406816</v>
      </c>
      <c r="H20" s="21">
        <v>409149</v>
      </c>
      <c r="I20" s="22">
        <v>411365</v>
      </c>
    </row>
    <row r="21" spans="2:11" x14ac:dyDescent="0.25">
      <c r="B21" s="20" t="s">
        <v>139</v>
      </c>
      <c r="C21" s="12" t="s">
        <v>122</v>
      </c>
      <c r="D21" s="21">
        <v>652627</v>
      </c>
      <c r="E21" s="21">
        <v>657268</v>
      </c>
      <c r="F21" s="21">
        <v>661818</v>
      </c>
      <c r="G21" s="21">
        <v>666449</v>
      </c>
      <c r="H21" s="21">
        <v>671357</v>
      </c>
      <c r="I21" s="22">
        <v>676106</v>
      </c>
    </row>
    <row r="22" spans="2:11" x14ac:dyDescent="0.25">
      <c r="B22" s="20" t="s">
        <v>139</v>
      </c>
      <c r="C22" s="24" t="s">
        <v>117</v>
      </c>
      <c r="D22" s="25">
        <f>SUM(D19:D21)</f>
        <v>1359351</v>
      </c>
      <c r="E22" s="25">
        <f t="shared" ref="E22" si="16">SUM(E19:E21)</f>
        <v>1367898</v>
      </c>
      <c r="F22" s="25">
        <f t="shared" ref="F22" si="17">SUM(F19:F21)</f>
        <v>1376215</v>
      </c>
      <c r="G22" s="25">
        <f t="shared" ref="G22" si="18">SUM(G19:G21)</f>
        <v>1384608</v>
      </c>
      <c r="H22" s="25">
        <f t="shared" ref="H22" si="19">SUM(H19:H21)</f>
        <v>1393493</v>
      </c>
      <c r="I22" s="26">
        <f t="shared" ref="I22" si="20">SUM(I19:I21)</f>
        <v>1402031</v>
      </c>
    </row>
    <row r="23" spans="2:11" x14ac:dyDescent="0.25">
      <c r="B23" s="178" t="s">
        <v>174</v>
      </c>
      <c r="C23" s="179" t="s">
        <v>120</v>
      </c>
      <c r="D23" s="224"/>
      <c r="E23" s="224"/>
      <c r="F23" s="224"/>
      <c r="G23" s="224"/>
      <c r="H23" s="224"/>
      <c r="I23" s="225"/>
      <c r="J23">
        <f>COUNTA(D23:I23)</f>
        <v>0</v>
      </c>
      <c r="K23" s="11" t="str">
        <f>IF(OR('Rhaniad y Ddeiliadaeth (Gog)'!$F$6='Rhaniad y Ddeiliadaeth (Gog)'!$B$194,'Rhaniad y Ddeiliadaeth (Gog)'!$F$6='Rhaniad y Ddeiliadaeth (Gog)'!$B$195,'Rhaniad y Ddeiliadaeth (Gog)'!$F$6='Rhaniad y Ddeiliadaeth (Gog)'!$B$196),"","&lt;&lt; Please enter data here")</f>
        <v/>
      </c>
    </row>
    <row r="24" spans="2:11" x14ac:dyDescent="0.25">
      <c r="B24" s="180" t="s">
        <v>174</v>
      </c>
      <c r="C24" s="181" t="s">
        <v>121</v>
      </c>
      <c r="D24" s="226"/>
      <c r="E24" s="226"/>
      <c r="F24" s="226"/>
      <c r="G24" s="226"/>
      <c r="H24" s="226"/>
      <c r="I24" s="227"/>
      <c r="J24" s="1">
        <f t="shared" ref="J24:J26" si="21">COUNTA(D24:I24)</f>
        <v>0</v>
      </c>
      <c r="K24" s="11" t="str">
        <f>IF(OR('Rhaniad y Ddeiliadaeth (C&amp;De-o)'!$F$6='Rhaniad y Ddeiliadaeth (C&amp;De-o)'!$B$194,'Rhaniad y Ddeiliadaeth (C&amp;De-o)'!$F$6='Rhaniad y Ddeiliadaeth (C&amp;De-o)'!$B$195,'Rhaniad y Ddeiliadaeth (C&amp;De-o)'!$F$6='Rhaniad y Ddeiliadaeth (C&amp;De-o)'!$B$196),"","&lt;&lt; Please enter data here")</f>
        <v/>
      </c>
    </row>
    <row r="25" spans="2:11" x14ac:dyDescent="0.25">
      <c r="B25" s="180" t="s">
        <v>174</v>
      </c>
      <c r="C25" s="181" t="s">
        <v>122</v>
      </c>
      <c r="D25" s="226"/>
      <c r="E25" s="226"/>
      <c r="F25" s="226"/>
      <c r="G25" s="226"/>
      <c r="H25" s="226"/>
      <c r="I25" s="227"/>
      <c r="J25" s="1">
        <f t="shared" si="21"/>
        <v>0</v>
      </c>
      <c r="K25" s="11" t="str">
        <f>IF(OR('Rhaniad y Ddeiliadaeth (De-ddn)'!$F$6='Rhaniad y Ddeiliadaeth (De-ddn)'!$B$194,'Rhaniad y Ddeiliadaeth (De-ddn)'!$F$6='Rhaniad y Ddeiliadaeth (De-ddn)'!$B$195,'Rhaniad y Ddeiliadaeth (De-ddn)'!$F$6='Rhaniad y Ddeiliadaeth (De-ddn)'!$B$196),"","&lt;&lt; Please enter data here")</f>
        <v/>
      </c>
    </row>
    <row r="26" spans="2:11" x14ac:dyDescent="0.25">
      <c r="B26" s="182" t="s">
        <v>174</v>
      </c>
      <c r="C26" s="183" t="s">
        <v>117</v>
      </c>
      <c r="D26" s="228"/>
      <c r="E26" s="228"/>
      <c r="F26" s="228"/>
      <c r="G26" s="228"/>
      <c r="H26" s="228"/>
      <c r="I26" s="229"/>
      <c r="J26" s="1">
        <f t="shared" si="21"/>
        <v>0</v>
      </c>
      <c r="K26" s="11" t="str">
        <f>IF(OR('Rhaniad y Ddeiliadaeth (Cymru)'!$F$6='Rhaniad y Ddeiliadaeth (Cymru)'!$B$194,'Rhaniad y Ddeiliadaeth (Cymru)'!$F$6='Rhaniad y Ddeiliadaeth (Cymru)'!$B$195,'Rhaniad y Ddeiliadaeth (Cymru)'!$F$6='Rhaniad y Ddeiliadaeth (Cymru)'!$B$196),"","&lt;&lt; Please enter data here")</f>
        <v/>
      </c>
    </row>
    <row r="28" spans="2:11" x14ac:dyDescent="0.25">
      <c r="B28" s="36" t="s">
        <v>315</v>
      </c>
    </row>
  </sheetData>
  <sheetProtection sheet="1" objects="1" scenarios="1"/>
  <dataValidations count="1">
    <dataValidation type="whole" operator="greaterThan" allowBlank="1" showErrorMessage="1" errorTitle="Household Projections" error="Please enter a valid number" sqref="D23:I26">
      <formula1>0</formula1>
    </dataValidation>
  </dataValidations>
  <pageMargins left="0.7" right="0.7" top="0.75" bottom="0.75" header="0.3" footer="0.3"/>
  <pageSetup paperSize="9" scale="62" orientation="landscape" horizontalDpi="300" verticalDpi="300"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K22"/>
  <sheetViews>
    <sheetView showGridLines="0" workbookViewId="0">
      <selection activeCell="B1" sqref="B1"/>
    </sheetView>
  </sheetViews>
  <sheetFormatPr defaultRowHeight="15" x14ac:dyDescent="0.25"/>
  <cols>
    <col min="1" max="1" width="1.7109375" customWidth="1"/>
    <col min="2" max="2" width="27" customWidth="1"/>
    <col min="3" max="3" width="19.5703125" customWidth="1"/>
    <col min="4" max="4" width="9.140625" style="69"/>
  </cols>
  <sheetData>
    <row r="2" spans="2:11" ht="15" customHeight="1" x14ac:dyDescent="0.25">
      <c r="B2" s="399" t="s">
        <v>170</v>
      </c>
      <c r="C2" s="400"/>
      <c r="D2" s="400"/>
      <c r="E2" s="400"/>
      <c r="F2" s="400"/>
      <c r="G2" s="400"/>
      <c r="H2" s="400"/>
      <c r="I2" s="401"/>
    </row>
    <row r="3" spans="2:11" s="1" customFormat="1" x14ac:dyDescent="0.25">
      <c r="B3" s="402"/>
      <c r="C3" s="403"/>
      <c r="D3" s="403"/>
      <c r="E3" s="403"/>
      <c r="F3" s="403"/>
      <c r="G3" s="403"/>
      <c r="H3" s="403"/>
      <c r="I3" s="404"/>
    </row>
    <row r="4" spans="2:11" s="1" customFormat="1" x14ac:dyDescent="0.25">
      <c r="B4" s="402"/>
      <c r="C4" s="403"/>
      <c r="D4" s="403"/>
      <c r="E4" s="403"/>
      <c r="F4" s="403"/>
      <c r="G4" s="403"/>
      <c r="H4" s="403"/>
      <c r="I4" s="404"/>
    </row>
    <row r="5" spans="2:11" s="1" customFormat="1" ht="27" customHeight="1" x14ac:dyDescent="0.25">
      <c r="B5" s="405"/>
      <c r="C5" s="406"/>
      <c r="D5" s="406"/>
      <c r="E5" s="406"/>
      <c r="F5" s="406"/>
      <c r="G5" s="406"/>
      <c r="H5" s="406"/>
      <c r="I5" s="407"/>
    </row>
    <row r="6" spans="2:11" s="1" customFormat="1" x14ac:dyDescent="0.25">
      <c r="D6" s="69"/>
    </row>
    <row r="7" spans="2:11" ht="31.5" customHeight="1" x14ac:dyDescent="0.25">
      <c r="B7" s="408" t="s">
        <v>320</v>
      </c>
      <c r="C7" s="279" t="s">
        <v>81</v>
      </c>
      <c r="D7" s="17"/>
      <c r="E7" s="280"/>
      <c r="F7" s="17"/>
      <c r="G7" s="17"/>
      <c r="H7" s="17"/>
      <c r="I7" s="185"/>
    </row>
    <row r="8" spans="2:11" x14ac:dyDescent="0.25">
      <c r="B8" s="409"/>
      <c r="C8" s="20" t="s">
        <v>135</v>
      </c>
      <c r="D8" s="200">
        <v>0.3</v>
      </c>
      <c r="E8" s="281"/>
      <c r="F8" s="12"/>
      <c r="G8" s="12"/>
      <c r="H8" s="12"/>
      <c r="I8" s="186"/>
    </row>
    <row r="9" spans="2:11" x14ac:dyDescent="0.25">
      <c r="B9" s="410"/>
      <c r="C9" s="182" t="s">
        <v>171</v>
      </c>
      <c r="D9" s="282"/>
      <c r="E9" s="283" t="str">
        <f>IF(OR('Rhaniad y Ddeiliadaeth (Cymru)'!F11='Rhaniad y Ddeiliadaeth (Cymru)'!$B$194,'Rhaniad y Ddeiliadaeth (Cymru)'!F11='Rhaniad y Ddeiliadaeth (Cymru)'!$B$195,'Rhaniad y Ddeiliadaeth (Cymru)'!F11='Rhaniad y Ddeiliadaeth (Cymru)'!$B$196),"","&lt;&lt; Ychwanewch eich data fan hyn")</f>
        <v/>
      </c>
      <c r="F9" s="24"/>
      <c r="G9" s="24"/>
      <c r="H9" s="24"/>
      <c r="I9" s="284"/>
    </row>
    <row r="10" spans="2:11" ht="15.75" x14ac:dyDescent="0.25">
      <c r="B10" s="411" t="s">
        <v>321</v>
      </c>
      <c r="C10" s="279" t="s">
        <v>88</v>
      </c>
      <c r="D10" s="17"/>
      <c r="E10" s="280"/>
      <c r="F10" s="17"/>
      <c r="G10" s="17"/>
      <c r="H10" s="17"/>
      <c r="I10" s="185"/>
      <c r="K10" s="69"/>
    </row>
    <row r="11" spans="2:11" x14ac:dyDescent="0.25">
      <c r="B11" s="412"/>
      <c r="C11" s="20" t="s">
        <v>135</v>
      </c>
      <c r="D11" s="12">
        <v>3.8</v>
      </c>
      <c r="E11" s="281"/>
      <c r="F11" s="12"/>
      <c r="G11" s="12"/>
      <c r="H11" s="12"/>
      <c r="I11" s="186"/>
    </row>
    <row r="12" spans="2:11" x14ac:dyDescent="0.25">
      <c r="B12" s="412"/>
      <c r="C12" s="182" t="s">
        <v>171</v>
      </c>
      <c r="D12" s="228"/>
      <c r="E12" s="283" t="str">
        <f>IF(OR('Rhaniad y Ddeiliadaeth (Cymru)'!F20='Rhaniad y Ddeiliadaeth (Cymru)'!$B$194,'Rhaniad y Ddeiliadaeth (Cymru)'!F20='Rhaniad y Ddeiliadaeth (Cymru)'!$B$195,'Rhaniad y Ddeiliadaeth (Cymru)'!F20='Rhaniad y Ddeiliadaeth (Cymru)'!$B$196),"","&lt;&lt; Ychwanegwch eich data fan hyn")</f>
        <v/>
      </c>
      <c r="F12" s="24"/>
      <c r="G12" s="24"/>
      <c r="H12" s="24"/>
      <c r="I12" s="284"/>
    </row>
    <row r="13" spans="2:11" ht="15.75" x14ac:dyDescent="0.25">
      <c r="B13" s="412"/>
      <c r="C13" s="285" t="s">
        <v>89</v>
      </c>
      <c r="D13" s="17"/>
      <c r="E13" s="280"/>
      <c r="F13" s="17"/>
      <c r="G13" s="17"/>
      <c r="H13" s="17"/>
      <c r="I13" s="185"/>
    </row>
    <row r="14" spans="2:11" x14ac:dyDescent="0.25">
      <c r="B14" s="412"/>
      <c r="C14" s="20" t="s">
        <v>172</v>
      </c>
      <c r="D14" s="12">
        <v>25</v>
      </c>
      <c r="E14" s="281"/>
      <c r="F14" s="12"/>
      <c r="G14" s="12"/>
      <c r="H14" s="12"/>
      <c r="I14" s="186"/>
    </row>
    <row r="15" spans="2:11" x14ac:dyDescent="0.25">
      <c r="B15" s="412"/>
      <c r="C15" s="20" t="s">
        <v>173</v>
      </c>
      <c r="D15" s="12">
        <v>40</v>
      </c>
      <c r="E15" s="281"/>
      <c r="F15" s="12"/>
      <c r="G15" s="12"/>
      <c r="H15" s="12"/>
      <c r="I15" s="186"/>
      <c r="K15" s="69"/>
    </row>
    <row r="16" spans="2:11" x14ac:dyDescent="0.25">
      <c r="B16" s="412"/>
      <c r="C16" s="182" t="s">
        <v>171</v>
      </c>
      <c r="D16" s="228"/>
      <c r="E16" s="283" t="str">
        <f>IF(OR('Rhaniad y Ddeiliadaeth (Cymru)'!F21='Rhaniad y Ddeiliadaeth (Cymru)'!$B$194,'Rhaniad y Ddeiliadaeth (Cymru)'!F21='Rhaniad y Ddeiliadaeth (Cymru)'!$B$195,'Rhaniad y Ddeiliadaeth (Cymru)'!F21='Rhaniad y Ddeiliadaeth (Cymru)'!$B$196),"","&lt;&lt; Ychwanegwch eich data fan hyn")</f>
        <v/>
      </c>
      <c r="F16" s="24"/>
      <c r="G16" s="24"/>
      <c r="H16" s="24"/>
      <c r="I16" s="284"/>
    </row>
    <row r="17" spans="2:11" ht="15.75" x14ac:dyDescent="0.25">
      <c r="B17" s="412"/>
      <c r="C17" s="279" t="s">
        <v>259</v>
      </c>
      <c r="D17" s="17"/>
      <c r="E17" s="280"/>
      <c r="F17" s="17"/>
      <c r="G17" s="17"/>
      <c r="H17" s="17"/>
      <c r="I17" s="185"/>
    </row>
    <row r="18" spans="2:11" x14ac:dyDescent="0.25">
      <c r="B18" s="412"/>
      <c r="C18" s="182" t="s">
        <v>171</v>
      </c>
      <c r="D18" s="282"/>
      <c r="E18" s="286" t="str">
        <f>IF(OR('Rhaniad y Ddeiliadaeth (Cymru)'!F22='Rhaniad y Ddeiliadaeth (Cymru)'!$B$194,'Rhaniad y Ddeiliadaeth (Cymru)'!F22='Rhaniad y Ddeiliadaeth (Cymru)'!$B$195,'Rhaniad y Ddeiliadaeth (Cymru)'!F22='Rhaniad y Ddeiliadaeth (Cymru)'!$B$196),"","&lt;&lt; Ychwanegwch eich data fan hyn")</f>
        <v>&lt;&lt; Ychwanegwch eich data fan hyn</v>
      </c>
      <c r="F18" s="24"/>
      <c r="G18" s="24"/>
      <c r="H18" s="24"/>
      <c r="I18" s="284"/>
      <c r="K18" s="69"/>
    </row>
    <row r="19" spans="2:11" ht="15.75" x14ac:dyDescent="0.25">
      <c r="B19" s="412"/>
      <c r="C19" s="279" t="s">
        <v>90</v>
      </c>
      <c r="D19" s="17"/>
      <c r="E19" s="280"/>
      <c r="F19" s="17"/>
      <c r="G19" s="17"/>
      <c r="H19" s="17"/>
      <c r="I19" s="185"/>
    </row>
    <row r="20" spans="2:11" x14ac:dyDescent="0.25">
      <c r="B20" s="412"/>
      <c r="C20" s="20" t="s">
        <v>135</v>
      </c>
      <c r="D20" s="200">
        <v>0.35</v>
      </c>
      <c r="E20" s="281"/>
      <c r="F20" s="12"/>
      <c r="G20" s="12"/>
      <c r="H20" s="12"/>
      <c r="I20" s="186"/>
    </row>
    <row r="21" spans="2:11" x14ac:dyDescent="0.25">
      <c r="B21" s="413"/>
      <c r="C21" s="182" t="s">
        <v>171</v>
      </c>
      <c r="D21" s="282"/>
      <c r="E21" s="283" t="str">
        <f>IF(OR('Rhaniad y Ddeiliadaeth (Cymru)'!F23='Rhaniad y Ddeiliadaeth (Cymru)'!$B$194,'Rhaniad y Ddeiliadaeth (Cymru)'!F23='Rhaniad y Ddeiliadaeth (Cymru)'!$B$195,'Rhaniad y Ddeiliadaeth (Cymru)'!F23='Rhaniad y Ddeiliadaeth (Cymru)'!$B$196),"","&lt;&lt; Ychwanegwch eich data fan hyn")</f>
        <v/>
      </c>
      <c r="F21" s="24"/>
      <c r="G21" s="24"/>
      <c r="H21" s="24"/>
      <c r="I21" s="284"/>
    </row>
    <row r="22" spans="2:11" x14ac:dyDescent="0.25">
      <c r="K22" s="69"/>
    </row>
  </sheetData>
  <sheetProtection sheet="1" objects="1" scenarios="1"/>
  <mergeCells count="3">
    <mergeCell ref="B2:I5"/>
    <mergeCell ref="B7:B9"/>
    <mergeCell ref="B10:B21"/>
  </mergeCells>
  <dataValidations count="3">
    <dataValidation type="decimal" operator="greaterThan" allowBlank="1" showInputMessage="1" showErrorMessage="1" sqref="D12">
      <formula1>0</formula1>
    </dataValidation>
    <dataValidation type="whole" allowBlank="1" showInputMessage="1" showErrorMessage="1" sqref="D16">
      <formula1>0</formula1>
      <formula2>99</formula2>
    </dataValidation>
    <dataValidation type="decimal" allowBlank="1" showInputMessage="1" showErrorMessage="1" sqref="D18 D9 D21">
      <formula1>0</formula1>
      <formula2>1</formula2>
    </dataValidation>
  </dataValidations>
  <pageMargins left="0.7" right="0.7" top="0.75" bottom="0.75" header="0.3" footer="0.3"/>
  <pageSetup paperSize="9" scale="92" orientation="portrait" horizontalDpi="300" verticalDpi="30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8"/>
  <sheetViews>
    <sheetView showGridLines="0" workbookViewId="0"/>
  </sheetViews>
  <sheetFormatPr defaultRowHeight="15" x14ac:dyDescent="0.25"/>
  <cols>
    <col min="1" max="1" width="2.5703125" style="1" customWidth="1"/>
    <col min="2" max="2" width="42.5703125" customWidth="1"/>
    <col min="3" max="3" width="10" style="1" hidden="1" customWidth="1"/>
    <col min="4" max="4" width="9.28515625" bestFit="1" customWidth="1"/>
    <col min="5" max="5" width="10.140625" bestFit="1" customWidth="1"/>
    <col min="6" max="8" width="9.28515625" bestFit="1" customWidth="1"/>
    <col min="9" max="9" width="9.140625" hidden="1" customWidth="1"/>
  </cols>
  <sheetData>
    <row r="1" spans="2:10" s="1" customFormat="1" x14ac:dyDescent="0.25"/>
    <row r="2" spans="2:10" s="1" customFormat="1" x14ac:dyDescent="0.25">
      <c r="B2" s="399" t="s">
        <v>166</v>
      </c>
      <c r="C2" s="400"/>
      <c r="D2" s="400"/>
      <c r="E2" s="400"/>
      <c r="F2" s="400"/>
      <c r="G2" s="401"/>
    </row>
    <row r="3" spans="2:10" s="1" customFormat="1" x14ac:dyDescent="0.25">
      <c r="B3" s="402"/>
      <c r="C3" s="403"/>
      <c r="D3" s="403"/>
      <c r="E3" s="403"/>
      <c r="F3" s="403"/>
      <c r="G3" s="404"/>
    </row>
    <row r="4" spans="2:10" s="1" customFormat="1" x14ac:dyDescent="0.25">
      <c r="B4" s="402"/>
      <c r="C4" s="403"/>
      <c r="D4" s="403"/>
      <c r="E4" s="403"/>
      <c r="F4" s="403"/>
      <c r="G4" s="404"/>
    </row>
    <row r="5" spans="2:10" s="1" customFormat="1" ht="33.75" customHeight="1" x14ac:dyDescent="0.25">
      <c r="B5" s="405"/>
      <c r="C5" s="406"/>
      <c r="D5" s="406"/>
      <c r="E5" s="406"/>
      <c r="F5" s="406"/>
      <c r="G5" s="407"/>
    </row>
    <row r="6" spans="2:10" s="1" customFormat="1" x14ac:dyDescent="0.25"/>
    <row r="7" spans="2:10" ht="23.25" x14ac:dyDescent="0.35">
      <c r="B7" s="15" t="s">
        <v>160</v>
      </c>
      <c r="C7" s="9"/>
      <c r="D7" s="5" t="s">
        <v>0</v>
      </c>
      <c r="E7" s="5" t="s">
        <v>1</v>
      </c>
      <c r="F7" s="5" t="s">
        <v>2</v>
      </c>
      <c r="G7" s="5" t="s">
        <v>3</v>
      </c>
      <c r="H7" s="5" t="s">
        <v>4</v>
      </c>
    </row>
    <row r="8" spans="2:10" s="1" customFormat="1" ht="15.75" x14ac:dyDescent="0.25">
      <c r="B8" s="9" t="s">
        <v>165</v>
      </c>
    </row>
    <row r="9" spans="2:10" x14ac:dyDescent="0.25">
      <c r="B9" s="1"/>
    </row>
    <row r="10" spans="2:10" x14ac:dyDescent="0.25">
      <c r="B10" t="s">
        <v>8</v>
      </c>
      <c r="C10" s="1" t="s">
        <v>135</v>
      </c>
      <c r="D10" s="7">
        <v>3.5377362656780903E-2</v>
      </c>
      <c r="E10" s="7">
        <v>2.571119448209791E-2</v>
      </c>
      <c r="F10" s="7">
        <v>3.2803011550502595E-2</v>
      </c>
      <c r="G10" s="7">
        <v>3.70858525612624E-2</v>
      </c>
      <c r="H10" s="7">
        <v>3.8062223065459387E-2</v>
      </c>
    </row>
    <row r="11" spans="2:10" x14ac:dyDescent="0.25">
      <c r="B11" s="177" t="s">
        <v>167</v>
      </c>
      <c r="C11" s="177" t="s">
        <v>134</v>
      </c>
      <c r="D11" s="233"/>
      <c r="E11" s="233"/>
      <c r="F11" s="233"/>
      <c r="G11" s="233"/>
      <c r="H11" s="233"/>
      <c r="I11">
        <f>COUNTA(D11:H11)</f>
        <v>0</v>
      </c>
      <c r="J11" s="11" t="str">
        <f>IF(OR('Rhaniad y Ddeiliadaeth (Cymru)'!F14='Rhaniad y Ddeiliadaeth (Cymru)'!$B$194,'Rhaniad y Ddeiliadaeth (Cymru)'!F14='Rhaniad y Ddeiliadaeth (Cymru)'!$B$195,'Rhaniad y Ddeiliadaeth (Cymru)'!F14='Rhaniad y Ddeiliadaeth (Cymru)'!$B$196),"","&lt;&lt; Ychwanegwch eich data fan hyn")</f>
        <v/>
      </c>
    </row>
    <row r="12" spans="2:10" x14ac:dyDescent="0.25">
      <c r="D12" s="7"/>
      <c r="E12" s="7"/>
      <c r="F12" s="7"/>
      <c r="G12" s="7"/>
      <c r="H12" s="7"/>
    </row>
    <row r="13" spans="2:10" ht="15.75" x14ac:dyDescent="0.25">
      <c r="B13" s="9" t="s">
        <v>164</v>
      </c>
      <c r="D13" s="7"/>
      <c r="E13" s="7"/>
      <c r="F13" s="7"/>
      <c r="G13" s="7"/>
      <c r="H13" s="7"/>
    </row>
    <row r="14" spans="2:10" x14ac:dyDescent="0.25">
      <c r="B14" t="s">
        <v>169</v>
      </c>
      <c r="C14" s="1" t="s">
        <v>300</v>
      </c>
      <c r="D14" s="7">
        <v>0.01</v>
      </c>
      <c r="E14" s="7">
        <v>0.01</v>
      </c>
      <c r="F14" s="7">
        <v>0.01</v>
      </c>
      <c r="G14" s="7">
        <v>0.01</v>
      </c>
      <c r="H14" s="7">
        <v>0.01</v>
      </c>
    </row>
    <row r="15" spans="2:10" x14ac:dyDescent="0.25">
      <c r="B15" t="s">
        <v>168</v>
      </c>
      <c r="C15" s="1" t="s">
        <v>168</v>
      </c>
      <c r="D15" s="7">
        <v>0</v>
      </c>
      <c r="E15" s="7">
        <v>0</v>
      </c>
      <c r="F15" s="7">
        <v>0</v>
      </c>
      <c r="G15" s="7">
        <v>0</v>
      </c>
      <c r="H15" s="7">
        <v>0</v>
      </c>
    </row>
    <row r="16" spans="2:10" x14ac:dyDescent="0.25">
      <c r="B16" s="177" t="s">
        <v>167</v>
      </c>
      <c r="C16" s="177" t="s">
        <v>134</v>
      </c>
      <c r="D16" s="233"/>
      <c r="E16" s="233"/>
      <c r="F16" s="233"/>
      <c r="G16" s="233"/>
      <c r="H16" s="233"/>
      <c r="I16" s="1">
        <f>COUNTA(D16:H16)</f>
        <v>0</v>
      </c>
      <c r="J16" s="11" t="str">
        <f>IF(OR('Rhaniad y Ddeiliadaeth (Cymru)'!F15='Rhaniad y Ddeiliadaeth (Cymru)'!$B$194,'Rhaniad y Ddeiliadaeth (Cymru)'!F15='Rhaniad y Ddeiliadaeth (Cymru)'!$B$195,'Rhaniad y Ddeiliadaeth (Cymru)'!F15='Rhaniad y Ddeiliadaeth (Cymru)'!$B$196),"","&lt;&lt; Ychwanegwch eich data fan hyn")</f>
        <v/>
      </c>
    </row>
    <row r="17" spans="2:12" x14ac:dyDescent="0.25">
      <c r="D17" s="7"/>
      <c r="E17" s="7"/>
      <c r="F17" s="7"/>
      <c r="G17" s="7"/>
      <c r="H17" s="7"/>
    </row>
    <row r="18" spans="2:12" x14ac:dyDescent="0.25">
      <c r="L18" s="1"/>
    </row>
    <row r="19" spans="2:12" ht="23.25" x14ac:dyDescent="0.35">
      <c r="B19" s="15" t="s">
        <v>33</v>
      </c>
      <c r="D19" s="7"/>
      <c r="E19" s="7"/>
      <c r="F19" s="7"/>
      <c r="G19" s="7"/>
      <c r="H19" s="7"/>
    </row>
    <row r="20" spans="2:12" ht="15.75" x14ac:dyDescent="0.25">
      <c r="B20" s="9" t="s">
        <v>163</v>
      </c>
      <c r="D20" s="7"/>
      <c r="E20" s="7"/>
      <c r="F20" s="7"/>
      <c r="G20" s="7"/>
      <c r="H20" s="7"/>
    </row>
    <row r="21" spans="2:12" x14ac:dyDescent="0.25">
      <c r="B21" t="s">
        <v>9</v>
      </c>
      <c r="C21" s="1" t="s">
        <v>135</v>
      </c>
      <c r="D21" s="247">
        <v>2.9066130553574002E-2</v>
      </c>
      <c r="E21" s="247">
        <v>2.9536238937667179E-2</v>
      </c>
      <c r="F21" s="247">
        <v>3.0600923725820621E-2</v>
      </c>
      <c r="G21" s="247">
        <v>3.1212408697362831E-2</v>
      </c>
      <c r="H21" s="247">
        <v>3.1716449662899181E-2</v>
      </c>
      <c r="I21" s="1"/>
      <c r="L21" s="7"/>
    </row>
    <row r="22" spans="2:12" x14ac:dyDescent="0.25">
      <c r="B22" s="177" t="s">
        <v>167</v>
      </c>
      <c r="C22" s="177" t="s">
        <v>134</v>
      </c>
      <c r="D22" s="233"/>
      <c r="E22" s="233"/>
      <c r="F22" s="233"/>
      <c r="G22" s="233"/>
      <c r="H22" s="233"/>
      <c r="I22" s="1">
        <f>COUNTA(D22:H22)</f>
        <v>0</v>
      </c>
      <c r="J22" s="11" t="str">
        <f>IF(OR('Rhaniad y Ddeiliadaeth (Cymru)'!F16='Rhaniad y Ddeiliadaeth (Cymru)'!$B$194,'Rhaniad y Ddeiliadaeth (Cymru)'!F16='Rhaniad y Ddeiliadaeth (Cymru)'!$B$195,'Rhaniad y Ddeiliadaeth (Cymru)'!F16='Rhaniad y Ddeiliadaeth (Cymru)'!$B$196),"","&lt;&lt; Ychwanegwch eich data fan hyn")</f>
        <v/>
      </c>
      <c r="L22" s="7"/>
    </row>
    <row r="23" spans="2:12" x14ac:dyDescent="0.25">
      <c r="L23" s="7"/>
    </row>
    <row r="24" spans="2:12" ht="23.25" x14ac:dyDescent="0.35">
      <c r="B24" s="15" t="s">
        <v>161</v>
      </c>
      <c r="D24" s="7"/>
      <c r="E24" s="7"/>
      <c r="F24" s="7"/>
      <c r="G24" s="7"/>
      <c r="H24" s="7"/>
      <c r="L24" s="7"/>
    </row>
    <row r="25" spans="2:12" ht="15.75" x14ac:dyDescent="0.25">
      <c r="B25" s="9" t="s">
        <v>162</v>
      </c>
      <c r="D25" s="7"/>
      <c r="E25" s="7"/>
      <c r="F25" s="7"/>
      <c r="G25" s="7"/>
      <c r="H25" s="7"/>
      <c r="L25" s="7"/>
    </row>
    <row r="26" spans="2:12" x14ac:dyDescent="0.25">
      <c r="B26" t="s">
        <v>10</v>
      </c>
      <c r="C26" s="1" t="s">
        <v>135</v>
      </c>
      <c r="D26" s="246">
        <v>2.8405585293094449E-2</v>
      </c>
      <c r="E26" s="246">
        <v>2.2265547421218557E-3</v>
      </c>
      <c r="F26" s="246">
        <v>2.1524380028468126E-2</v>
      </c>
      <c r="G26" s="246">
        <v>3.8999168521062666E-2</v>
      </c>
      <c r="H26" s="246">
        <v>4.147992390238664E-2</v>
      </c>
    </row>
    <row r="27" spans="2:12" x14ac:dyDescent="0.25">
      <c r="B27" s="177" t="s">
        <v>167</v>
      </c>
      <c r="C27" s="177" t="s">
        <v>134</v>
      </c>
      <c r="D27" s="233"/>
      <c r="E27" s="233"/>
      <c r="F27" s="233"/>
      <c r="G27" s="233"/>
      <c r="H27" s="233"/>
      <c r="I27" s="1">
        <f>COUNTA(D27:H27)</f>
        <v>0</v>
      </c>
      <c r="J27" s="11" t="str">
        <f>IF(OR('Rhaniad y Ddeiliadaeth (Cymru)'!F25='Rhaniad y Ddeiliadaeth (Cymru)'!$B$194,'Rhaniad y Ddeiliadaeth (Cymru)'!F25='Rhaniad y Ddeiliadaeth (Cymru)'!$B$195,'Rhaniad y Ddeiliadaeth (Cymru)'!F25='Rhaniad y Ddeiliadaeth (Cymru)'!$B$196),"","&lt;&lt; Ychwanegwch eich data fan hyn")</f>
        <v/>
      </c>
    </row>
    <row r="28" spans="2:12" x14ac:dyDescent="0.25">
      <c r="B28" s="1"/>
      <c r="C28"/>
      <c r="D28" s="1"/>
    </row>
  </sheetData>
  <sheetProtection sheet="1" objects="1" scenarios="1"/>
  <mergeCells count="1">
    <mergeCell ref="B2:G5"/>
  </mergeCells>
  <pageMargins left="0.7" right="0.7" top="0.75" bottom="0.75" header="0.3" footer="0.3"/>
  <pageSetup paperSize="9" scale="68"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B1:H28"/>
  <sheetViews>
    <sheetView showGridLines="0" workbookViewId="0"/>
  </sheetViews>
  <sheetFormatPr defaultRowHeight="15" x14ac:dyDescent="0.25"/>
  <cols>
    <col min="1" max="1" width="3.28515625" customWidth="1"/>
    <col min="2" max="2" width="44.28515625" customWidth="1"/>
    <col min="3" max="3" width="24" customWidth="1"/>
    <col min="4" max="4" width="28.85546875" bestFit="1" customWidth="1"/>
    <col min="5" max="5" width="30.7109375" bestFit="1" customWidth="1"/>
  </cols>
  <sheetData>
    <row r="1" spans="2:8" s="1" customFormat="1" x14ac:dyDescent="0.25"/>
    <row r="2" spans="2:8" s="1" customFormat="1" x14ac:dyDescent="0.25">
      <c r="B2" s="399" t="s">
        <v>150</v>
      </c>
      <c r="C2" s="400"/>
      <c r="D2" s="400"/>
      <c r="E2" s="400"/>
      <c r="F2" s="400"/>
      <c r="G2" s="400"/>
      <c r="H2" s="401"/>
    </row>
    <row r="3" spans="2:8" s="1" customFormat="1" x14ac:dyDescent="0.25">
      <c r="B3" s="402"/>
      <c r="C3" s="403"/>
      <c r="D3" s="403"/>
      <c r="E3" s="403"/>
      <c r="F3" s="403"/>
      <c r="G3" s="403"/>
      <c r="H3" s="404"/>
    </row>
    <row r="4" spans="2:8" s="1" customFormat="1" x14ac:dyDescent="0.25">
      <c r="B4" s="402"/>
      <c r="C4" s="403"/>
      <c r="D4" s="403"/>
      <c r="E4" s="403"/>
      <c r="F4" s="403"/>
      <c r="G4" s="403"/>
      <c r="H4" s="404"/>
    </row>
    <row r="5" spans="2:8" s="1" customFormat="1" x14ac:dyDescent="0.25">
      <c r="B5" s="405"/>
      <c r="C5" s="406"/>
      <c r="D5" s="406"/>
      <c r="E5" s="406"/>
      <c r="F5" s="406"/>
      <c r="G5" s="406"/>
      <c r="H5" s="407"/>
    </row>
    <row r="6" spans="2:8" ht="18.75" x14ac:dyDescent="0.3">
      <c r="B6" s="10" t="s">
        <v>151</v>
      </c>
    </row>
    <row r="7" spans="2:8" ht="15.75" x14ac:dyDescent="0.25">
      <c r="B7" s="9" t="s">
        <v>136</v>
      </c>
    </row>
    <row r="8" spans="2:8" s="37" customFormat="1" ht="45.75" customHeight="1" x14ac:dyDescent="0.25">
      <c r="B8" s="40" t="s">
        <v>199</v>
      </c>
      <c r="C8" s="41" t="s">
        <v>152</v>
      </c>
      <c r="D8" s="48" t="s">
        <v>159</v>
      </c>
      <c r="E8" s="49" t="s">
        <v>158</v>
      </c>
    </row>
    <row r="9" spans="2:8" x14ac:dyDescent="0.25">
      <c r="B9" s="20" t="s">
        <v>154</v>
      </c>
      <c r="C9" s="38">
        <v>1242</v>
      </c>
      <c r="D9" s="42">
        <v>735</v>
      </c>
      <c r="E9" s="43">
        <v>507</v>
      </c>
    </row>
    <row r="10" spans="2:8" x14ac:dyDescent="0.25">
      <c r="B10" s="20" t="s">
        <v>155</v>
      </c>
      <c r="C10" s="38">
        <v>1153</v>
      </c>
      <c r="D10" s="42">
        <v>862</v>
      </c>
      <c r="E10" s="43">
        <v>291</v>
      </c>
    </row>
    <row r="11" spans="2:8" x14ac:dyDescent="0.25">
      <c r="B11" s="20" t="s">
        <v>156</v>
      </c>
      <c r="C11" s="38">
        <v>3247</v>
      </c>
      <c r="D11" s="44">
        <v>1906</v>
      </c>
      <c r="E11" s="45">
        <v>1341</v>
      </c>
    </row>
    <row r="12" spans="2:8" x14ac:dyDescent="0.25">
      <c r="B12" s="23" t="s">
        <v>117</v>
      </c>
      <c r="C12" s="39">
        <v>5645</v>
      </c>
      <c r="D12" s="46">
        <v>3503</v>
      </c>
      <c r="E12" s="47">
        <v>2142</v>
      </c>
    </row>
    <row r="13" spans="2:8" s="1" customFormat="1" x14ac:dyDescent="0.25">
      <c r="B13" s="12"/>
      <c r="C13" s="51"/>
      <c r="D13" s="52"/>
      <c r="E13" s="52"/>
    </row>
    <row r="14" spans="2:8" s="1" customFormat="1" x14ac:dyDescent="0.25">
      <c r="B14" s="53" t="s">
        <v>127</v>
      </c>
      <c r="C14" s="54">
        <v>5</v>
      </c>
      <c r="D14" s="52"/>
      <c r="E14" s="52"/>
    </row>
    <row r="16" spans="2:8" ht="15.75" x14ac:dyDescent="0.25">
      <c r="B16" s="9" t="s">
        <v>153</v>
      </c>
    </row>
    <row r="17" spans="2:4" s="50" customFormat="1" ht="31.5" customHeight="1" x14ac:dyDescent="0.25">
      <c r="B17" s="172" t="s">
        <v>199</v>
      </c>
      <c r="C17" s="173" t="s">
        <v>152</v>
      </c>
    </row>
    <row r="18" spans="2:4" x14ac:dyDescent="0.25">
      <c r="B18" s="174" t="s">
        <v>154</v>
      </c>
      <c r="C18" s="235"/>
      <c r="D18" s="11" t="str">
        <f>IF(AND('Rhaniad y Ddeiliadaeth (Gog)'!$D$7="Other",ISBLANK(C18)),"&lt;&lt; Ychwanegwch eich data fan hyn","")</f>
        <v/>
      </c>
    </row>
    <row r="19" spans="2:4" x14ac:dyDescent="0.25">
      <c r="B19" s="174" t="s">
        <v>155</v>
      </c>
      <c r="C19" s="235"/>
      <c r="D19" s="11" t="str">
        <f>IF(AND('Rhaniad y Ddeiliadaeth (C&amp;De-o)'!$D$7="Other",ISBLANK(C19)),"&lt;&lt; Ychwanegwch eich data fan hyn","")</f>
        <v/>
      </c>
    </row>
    <row r="20" spans="2:4" x14ac:dyDescent="0.25">
      <c r="B20" s="174" t="s">
        <v>156</v>
      </c>
      <c r="C20" s="235"/>
      <c r="D20" s="11" t="str">
        <f>IF(AND('Rhaniad y Ddeiliadaeth (De-ddn)'!$D$7="Other",ISBLANK(C20)),"&lt;&lt; Ychwanegwch eich data fan hyn","")</f>
        <v/>
      </c>
    </row>
    <row r="21" spans="2:4" x14ac:dyDescent="0.25">
      <c r="B21" s="175" t="s">
        <v>157</v>
      </c>
      <c r="C21" s="236"/>
      <c r="D21" s="11" t="str">
        <f>IF(OR('Rhaniad y Ddeiliadaeth (Cymru)'!F7='Rhaniad y Ddeiliadaeth (Cymru)'!$B$194,'Rhaniad y Ddeiliadaeth (Cymru)'!F7='Rhaniad y Ddeiliadaeth (Cymru)'!$B$195,'Rhaniad y Ddeiliadaeth (Cymru)'!F7='Rhaniad y Ddeiliadaeth (Cymru)'!$B$196),"","&lt;&lt; Ychwanegwch eich data fan hyn")</f>
        <v/>
      </c>
    </row>
    <row r="22" spans="2:4" s="1" customFormat="1" x14ac:dyDescent="0.25">
      <c r="B22" s="36"/>
      <c r="C22" s="36"/>
      <c r="D22" s="11"/>
    </row>
    <row r="24" spans="2:4" x14ac:dyDescent="0.25">
      <c r="B24" s="171" t="s">
        <v>322</v>
      </c>
      <c r="C24" s="237"/>
      <c r="D24" s="11" t="str">
        <f>IF(OR('Rhaniad y Ddeiliadaeth (Cymru)'!F12='Rhaniad y Ddeiliadaeth (Cymru)'!$B$194,'Rhaniad y Ddeiliadaeth (Cymru)'!F12='Rhaniad y Ddeiliadaeth (Cymru)'!$B$195,'Rhaniad y Ddeiliadaeth (Cymru)'!F12='Rhaniad y Ddeiliadaeth (Cymru)'!$B$196),"","&lt;&lt; Ychwanegwch eich data fan hyn")</f>
        <v/>
      </c>
    </row>
    <row r="28" spans="2:4" hidden="1" x14ac:dyDescent="0.25">
      <c r="B28" t="s">
        <v>290</v>
      </c>
      <c r="C28">
        <f>IF('Rhaniad y Ddeiliadaeth (Cymru)'!D12="Wedi'i ragosod",C14,C24)</f>
        <v>5</v>
      </c>
    </row>
  </sheetData>
  <sheetProtection sheet="1" objects="1" scenarios="1"/>
  <mergeCells count="1">
    <mergeCell ref="B2:H5"/>
  </mergeCells>
  <dataValidations count="2">
    <dataValidation type="whole" operator="greaterThan" allowBlank="1" showInputMessage="1" showErrorMessage="1" sqref="C24">
      <formula1>0</formula1>
    </dataValidation>
    <dataValidation type="whole" operator="greaterThanOrEqual" allowBlank="1" showInputMessage="1" showErrorMessage="1" sqref="C18 C19 C20 C21">
      <formula1>0</formula1>
    </dataValidation>
  </dataValidations>
  <pageMargins left="0.7" right="0.7" top="0.75" bottom="0.75" header="0.3" footer="0.3"/>
  <pageSetup paperSize="9" scale="49" orientation="portrait" horizontalDpi="300" verticalDpi="300"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J25"/>
  <sheetViews>
    <sheetView showGridLines="0" workbookViewId="0"/>
  </sheetViews>
  <sheetFormatPr defaultRowHeight="15" x14ac:dyDescent="0.25"/>
  <cols>
    <col min="1" max="1" width="2.140625" customWidth="1"/>
    <col min="2" max="2" width="15.140625" customWidth="1"/>
    <col min="3" max="3" width="14.5703125" bestFit="1" customWidth="1"/>
  </cols>
  <sheetData>
    <row r="1" spans="2:10" s="1" customFormat="1" x14ac:dyDescent="0.25"/>
    <row r="2" spans="2:10" s="1" customFormat="1" ht="15" customHeight="1" x14ac:dyDescent="0.25">
      <c r="B2" s="399" t="s">
        <v>304</v>
      </c>
      <c r="C2" s="400"/>
      <c r="D2" s="400"/>
      <c r="E2" s="400"/>
      <c r="F2" s="400"/>
      <c r="G2" s="400"/>
      <c r="H2" s="400"/>
      <c r="I2" s="400"/>
      <c r="J2" s="401"/>
    </row>
    <row r="3" spans="2:10" s="1" customFormat="1" x14ac:dyDescent="0.25">
      <c r="B3" s="402"/>
      <c r="C3" s="403"/>
      <c r="D3" s="403"/>
      <c r="E3" s="403"/>
      <c r="F3" s="403"/>
      <c r="G3" s="403"/>
      <c r="H3" s="403"/>
      <c r="I3" s="403"/>
      <c r="J3" s="404"/>
    </row>
    <row r="4" spans="2:10" x14ac:dyDescent="0.25">
      <c r="B4" s="402"/>
      <c r="C4" s="403"/>
      <c r="D4" s="403"/>
      <c r="E4" s="403"/>
      <c r="F4" s="403"/>
      <c r="G4" s="403"/>
      <c r="H4" s="403"/>
      <c r="I4" s="403"/>
      <c r="J4" s="404"/>
    </row>
    <row r="5" spans="2:10" ht="32.25" customHeight="1" x14ac:dyDescent="0.25">
      <c r="B5" s="405"/>
      <c r="C5" s="406"/>
      <c r="D5" s="406"/>
      <c r="E5" s="406"/>
      <c r="F5" s="406"/>
      <c r="G5" s="406"/>
      <c r="H5" s="406"/>
      <c r="I5" s="406"/>
      <c r="J5" s="407"/>
    </row>
    <row r="7" spans="2:10" x14ac:dyDescent="0.25">
      <c r="B7" s="3" t="s">
        <v>117</v>
      </c>
    </row>
    <row r="8" spans="2:10" x14ac:dyDescent="0.25">
      <c r="C8" t="s">
        <v>292</v>
      </c>
      <c r="D8" t="s">
        <v>291</v>
      </c>
    </row>
    <row r="9" spans="2:10" x14ac:dyDescent="0.25">
      <c r="B9" s="1" t="s">
        <v>299</v>
      </c>
      <c r="C9" s="4">
        <v>5700</v>
      </c>
      <c r="D9" s="4">
        <v>6300</v>
      </c>
    </row>
    <row r="10" spans="2:10" x14ac:dyDescent="0.25">
      <c r="B10" s="177" t="s">
        <v>134</v>
      </c>
      <c r="C10" s="234"/>
      <c r="D10" s="234"/>
      <c r="E10" s="11" t="str">
        <f>IF(OR('Rhaniad y Ddeiliadaeth (Cymru)'!$F$9='Rhaniad y Ddeiliadaeth (Cymru)'!$B$194,'Rhaniad y Ddeiliadaeth (Cymru)'!$F$9='Rhaniad y Ddeiliadaeth (Cymru)'!$B$195,'Rhaniad y Ddeiliadaeth (Cymru)'!$F$9='Rhaniad y Ddeiliadaeth (Cymru)'!$B$196),"","&lt;&lt; Ychwanegwch eich data fan hyn")</f>
        <v/>
      </c>
    </row>
    <row r="12" spans="2:10" x14ac:dyDescent="0.25">
      <c r="B12" s="3" t="s">
        <v>120</v>
      </c>
      <c r="C12" s="1"/>
      <c r="D12" s="1"/>
    </row>
    <row r="13" spans="2:10" x14ac:dyDescent="0.25">
      <c r="B13" s="1"/>
      <c r="C13" s="1" t="s">
        <v>292</v>
      </c>
      <c r="D13" s="1" t="s">
        <v>291</v>
      </c>
    </row>
    <row r="14" spans="2:10" x14ac:dyDescent="0.25">
      <c r="B14" s="1" t="s">
        <v>299</v>
      </c>
      <c r="C14" s="4">
        <v>5940</v>
      </c>
      <c r="D14" s="4">
        <v>6600</v>
      </c>
    </row>
    <row r="15" spans="2:10" x14ac:dyDescent="0.25">
      <c r="B15" s="177" t="s">
        <v>134</v>
      </c>
      <c r="C15" s="234"/>
      <c r="D15" s="234"/>
      <c r="E15" s="11" t="str">
        <f>IF(OR('Rhaniad y Ddeiliadaeth (Gog)'!$F$9='Rhaniad y Ddeiliadaeth (Gog)'!$B$194,'Rhaniad y Ddeiliadaeth (Gog)'!$F$9='Rhaniad y Ddeiliadaeth (Gog)'!$B$195,'Rhaniad y Ddeiliadaeth (Gog)'!$F$9='Rhaniad y Ddeiliadaeth (Gog)'!$B$196),"","&lt;&lt; Ychwanegwch eich data fan hyn")</f>
        <v/>
      </c>
    </row>
    <row r="17" spans="2:8" x14ac:dyDescent="0.25">
      <c r="B17" s="3" t="s">
        <v>121</v>
      </c>
      <c r="C17" s="1"/>
      <c r="D17" s="1"/>
    </row>
    <row r="18" spans="2:8" x14ac:dyDescent="0.25">
      <c r="B18" s="1"/>
      <c r="C18" s="1" t="s">
        <v>292</v>
      </c>
      <c r="D18" s="1" t="s">
        <v>291</v>
      </c>
    </row>
    <row r="19" spans="2:8" x14ac:dyDescent="0.25">
      <c r="B19" s="1" t="s">
        <v>299</v>
      </c>
      <c r="C19" s="4">
        <v>5400</v>
      </c>
      <c r="D19" s="4">
        <v>5940</v>
      </c>
    </row>
    <row r="20" spans="2:8" x14ac:dyDescent="0.25">
      <c r="B20" s="177" t="s">
        <v>134</v>
      </c>
      <c r="C20" s="234"/>
      <c r="D20" s="234"/>
      <c r="E20" s="11" t="str">
        <f>IF(OR('Rhaniad y Ddeiliadaeth (C&amp;De-o)'!$F$9='Rhaniad y Ddeiliadaeth (C&amp;De-o)'!$B$194,'Rhaniad y Ddeiliadaeth (C&amp;De-o)'!$F$9='Rhaniad y Ddeiliadaeth (C&amp;De-o)'!$B$195,'Rhaniad y Ddeiliadaeth (C&amp;De-o)'!$F$9='Rhaniad y Ddeiliadaeth (C&amp;De-o)'!$B$196),"","&lt;&lt; Ychwanegwch eich data fan hyn")</f>
        <v/>
      </c>
    </row>
    <row r="22" spans="2:8" x14ac:dyDescent="0.25">
      <c r="B22" s="3" t="s">
        <v>122</v>
      </c>
      <c r="C22" s="1"/>
      <c r="D22" s="1"/>
    </row>
    <row r="23" spans="2:8" x14ac:dyDescent="0.25">
      <c r="B23" s="1"/>
      <c r="C23" s="1" t="s">
        <v>292</v>
      </c>
      <c r="D23" s="1" t="s">
        <v>291</v>
      </c>
    </row>
    <row r="24" spans="2:8" x14ac:dyDescent="0.25">
      <c r="B24" s="1" t="s">
        <v>299</v>
      </c>
      <c r="C24" s="4">
        <v>5700.24</v>
      </c>
      <c r="D24" s="4">
        <v>6600</v>
      </c>
      <c r="H24" s="1"/>
    </row>
    <row r="25" spans="2:8" x14ac:dyDescent="0.25">
      <c r="B25" s="177" t="s">
        <v>134</v>
      </c>
      <c r="C25" s="234"/>
      <c r="D25" s="234"/>
      <c r="E25" s="11" t="str">
        <f>IF(OR('Rhaniad y Ddeiliadaeth (De-ddn)'!$F$9='Rhaniad y Ddeiliadaeth (De-ddn)'!$B$194,'Rhaniad y Ddeiliadaeth (De-ddn)'!$F$9='Rhaniad y Ddeiliadaeth (De-ddn)'!$B$195,'Rhaniad y Ddeiliadaeth (De-ddn)'!$F$9='Rhaniad y Ddeiliadaeth (De-ddn)'!$B$196),"","&lt;&lt; Ychwanegwch eich data fan hyn")</f>
        <v/>
      </c>
    </row>
  </sheetData>
  <sheetProtection sheet="1" objects="1" scenarios="1"/>
  <mergeCells count="1">
    <mergeCell ref="B2:J5"/>
  </mergeCells>
  <dataValidations count="1">
    <dataValidation type="decimal" operator="greaterThan" allowBlank="1" showInputMessage="1" showErrorMessage="1" sqref="C10:D10 C15:D15 C20:D20 C25:D25">
      <formula1>0</formula1>
    </dataValidation>
  </dataValidations>
  <pageMargins left="0.7" right="0.7" top="0.75" bottom="0.75" header="0.3" footer="0.3"/>
  <pageSetup paperSize="9" scale="70" orientation="portrait" horizontalDpi="300" verticalDpi="300"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fitToPage="1"/>
  </sheetPr>
  <dimension ref="A1:AG85"/>
  <sheetViews>
    <sheetView showGridLines="0" workbookViewId="0"/>
  </sheetViews>
  <sheetFormatPr defaultRowHeight="15" x14ac:dyDescent="0.25"/>
  <cols>
    <col min="1" max="1" width="2.140625" style="1" customWidth="1"/>
    <col min="2" max="2" width="10.140625" bestFit="1" customWidth="1"/>
    <col min="4" max="8" width="10.140625" bestFit="1" customWidth="1"/>
    <col min="10" max="10" width="67.140625" customWidth="1"/>
    <col min="12" max="12" width="10.140625" customWidth="1"/>
    <col min="14" max="14" width="9.140625" style="1" hidden="1" customWidth="1"/>
    <col min="20" max="20" width="9.140625" hidden="1" customWidth="1"/>
    <col min="21" max="26" width="10.140625" hidden="1" customWidth="1"/>
    <col min="27" max="28" width="9.140625" customWidth="1"/>
    <col min="29" max="29" width="10.140625" customWidth="1"/>
    <col min="30" max="33" width="9.140625" customWidth="1"/>
  </cols>
  <sheetData>
    <row r="1" spans="2:33" s="1" customFormat="1" ht="9.75" customHeight="1" x14ac:dyDescent="0.25"/>
    <row r="2" spans="2:33" ht="26.25" customHeight="1" x14ac:dyDescent="0.25">
      <c r="B2" s="414" t="s">
        <v>316</v>
      </c>
      <c r="C2" s="415"/>
      <c r="D2" s="415"/>
      <c r="E2" s="415"/>
      <c r="F2" s="415"/>
      <c r="G2" s="415"/>
      <c r="H2" s="416"/>
      <c r="I2" s="1"/>
      <c r="J2" s="417" t="s">
        <v>145</v>
      </c>
      <c r="K2" s="418"/>
      <c r="L2" s="418"/>
      <c r="M2" s="419"/>
      <c r="N2" s="65"/>
      <c r="U2" t="s">
        <v>293</v>
      </c>
      <c r="AB2" t="s">
        <v>294</v>
      </c>
    </row>
    <row r="3" spans="2:33" x14ac:dyDescent="0.25">
      <c r="B3" s="34" t="s">
        <v>144</v>
      </c>
      <c r="C3" s="35">
        <v>2017</v>
      </c>
      <c r="D3" s="35">
        <v>2018</v>
      </c>
      <c r="E3" s="35">
        <v>2019</v>
      </c>
      <c r="F3" s="35">
        <v>2020</v>
      </c>
      <c r="G3" s="35">
        <v>2021</v>
      </c>
      <c r="H3" s="55">
        <v>2022</v>
      </c>
      <c r="I3" s="1"/>
      <c r="J3" s="1"/>
      <c r="K3" s="1"/>
      <c r="L3" s="34" t="s">
        <v>144</v>
      </c>
      <c r="M3" s="64">
        <f>K4</f>
        <v>0</v>
      </c>
      <c r="N3" s="66" t="s">
        <v>298</v>
      </c>
      <c r="U3">
        <v>2017</v>
      </c>
      <c r="V3">
        <v>2018</v>
      </c>
      <c r="W3">
        <v>2019</v>
      </c>
      <c r="X3">
        <v>2020</v>
      </c>
      <c r="Y3">
        <v>2021</v>
      </c>
      <c r="Z3">
        <v>2022</v>
      </c>
      <c r="AC3">
        <v>2018</v>
      </c>
      <c r="AD3">
        <v>2019</v>
      </c>
      <c r="AE3">
        <v>2020</v>
      </c>
      <c r="AF3">
        <v>2021</v>
      </c>
      <c r="AG3">
        <v>2022</v>
      </c>
    </row>
    <row r="4" spans="2:33" x14ac:dyDescent="0.25">
      <c r="B4" s="20">
        <v>10</v>
      </c>
      <c r="C4" s="56">
        <v>11621</v>
      </c>
      <c r="D4" s="57">
        <f>C4*(1+'Rhaniad y Ddeiliadaeth (Cymru)'!C$109)+(C$44*(-(50-$B4)*('Rhaniad y Ddeiliadaeth (Cymru)'!C$110/40)))</f>
        <v>11773.82783143445</v>
      </c>
      <c r="E4" s="57">
        <f>D4*(1+'Rhaniad y Ddeiliadaeth (Cymru)'!D$109)+(D$44*(-(50-$B4)*('Rhaniad y Ddeiliadaeth (Cymru)'!D$110/40)))</f>
        <v>11809.116801163171</v>
      </c>
      <c r="F4" s="57">
        <f>E4*(1+'Rhaniad y Ddeiliadaeth (Cymru)'!E$109)+(E$44*(-(50-$B4)*('Rhaniad y Ddeiliadaeth (Cymru)'!E$110/40)))</f>
        <v>11922.185238474955</v>
      </c>
      <c r="G4" s="57">
        <f>F4*(1+'Rhaniad y Ddeiliadaeth (Cymru)'!F$109)+(F$44*(-(50-$B4)*('Rhaniad y Ddeiliadaeth (Cymru)'!F$110/40)))</f>
        <v>12081.02541686565</v>
      </c>
      <c r="H4" s="58">
        <f>G4*(1+'Rhaniad y Ddeiliadaeth (Cymru)'!G$109)+(G$44*(-(50-$B4)*('Rhaniad y Ddeiliadaeth (Cymru)'!G$110/40)))</f>
        <v>12247.045296830907</v>
      </c>
      <c r="I4" s="4"/>
      <c r="J4" s="67" t="str">
        <f>IF('Rhaniad y Ddeiliadaeth (Cymru)'!D8="Arall","Dewiswch data pa flwyddyn hoffech ei ychwanegu:","")</f>
        <v/>
      </c>
      <c r="K4" s="238"/>
      <c r="L4" s="62" t="str">
        <f t="shared" ref="L4:L35" si="0">IF(ISBLANK($K$4),"",B4)</f>
        <v/>
      </c>
      <c r="M4" s="227"/>
      <c r="N4" s="14">
        <f>IF(ISBLANK(M4),1,0)</f>
        <v>1</v>
      </c>
      <c r="O4" s="11" t="str">
        <f>IF(J4="","","&lt;&lt; Ychwanegwch ddata pob canradd fan hyn.")</f>
        <v/>
      </c>
      <c r="T4">
        <f t="shared" ref="T4:T35" si="1">B4</f>
        <v>10</v>
      </c>
      <c r="U4" s="4" t="str">
        <f t="shared" ref="U4:U35" si="2">IF($M$3=$U$3,M4,"")</f>
        <v/>
      </c>
      <c r="V4" s="4" t="e">
        <f>IF($V$3=$M$3,M4,U4*(1+'Rhaniad y Ddeiliadaeth (Cymru)'!C$109)+(U$44*(-(50-$T4)*('Rhaniad y Ddeiliadaeth (Cymru)'!C$110/40))))</f>
        <v>#VALUE!</v>
      </c>
      <c r="W4" s="4" t="e">
        <f>V4*(1+'Rhaniad y Ddeiliadaeth (Cymru)'!D$109)+(V$44*(-(50-$T4)*('Rhaniad y Ddeiliadaeth (Cymru)'!D$110/40)))</f>
        <v>#VALUE!</v>
      </c>
      <c r="X4" s="4" t="e">
        <f>W4*(1+'Rhaniad y Ddeiliadaeth (Cymru)'!E$109)+(W$44*(-(50-$T4)*('Rhaniad y Ddeiliadaeth (Cymru)'!E$110/40)))</f>
        <v>#VALUE!</v>
      </c>
      <c r="Y4" s="4" t="e">
        <f>X4*(1+'Rhaniad y Ddeiliadaeth (Cymru)'!F$109)+(X$44*(-(50-$T4)*('Rhaniad y Ddeiliadaeth (Cymru)'!F$110/40)))</f>
        <v>#VALUE!</v>
      </c>
      <c r="Z4" s="4" t="e">
        <f>Y4*(1+'Rhaniad y Ddeiliadaeth (Cymru)'!G$109)+(Y$44*(-(50-$T4)*('Rhaniad y Ddeiliadaeth (Cymru)'!G$110/40)))</f>
        <v>#VALUE!</v>
      </c>
      <c r="AB4">
        <v>10</v>
      </c>
      <c r="AC4" s="4">
        <f>IF('Rhaniad y Ddeiliadaeth (Cymru)'!$D$8="Amcangyfrifon LlC",'Incwm (Cymru)'!D4,'Incwm (Cymru)'!V4)</f>
        <v>11773.82783143445</v>
      </c>
      <c r="AD4" s="4">
        <f>IF('Rhaniad y Ddeiliadaeth (Cymru)'!$D$8="Amcangyfrifon LlC",'Incwm (Cymru)'!E4,'Incwm (Cymru)'!W4)</f>
        <v>11809.116801163171</v>
      </c>
      <c r="AE4" s="4">
        <f>IF('Rhaniad y Ddeiliadaeth (Cymru)'!$D$8="Amcangyfrifon LlC",'Incwm (Cymru)'!F4,'Incwm (Cymru)'!X4)</f>
        <v>11922.185238474955</v>
      </c>
      <c r="AF4" s="4">
        <f>IF('Rhaniad y Ddeiliadaeth (Cymru)'!$D$8="Amcangyfrifon LlC",'Incwm (Cymru)'!G4,'Incwm (Cymru)'!Y4)</f>
        <v>12081.02541686565</v>
      </c>
      <c r="AG4" s="4">
        <f>IF('Rhaniad y Ddeiliadaeth (Cymru)'!$D$8="Amcangyfrifon LlC",'Incwm (Cymru)'!H4,'Incwm (Cymru)'!Z4)</f>
        <v>12247.045296830907</v>
      </c>
    </row>
    <row r="5" spans="2:33" x14ac:dyDescent="0.25">
      <c r="B5" s="20">
        <v>11</v>
      </c>
      <c r="C5" s="56">
        <v>12235</v>
      </c>
      <c r="D5" s="57">
        <f>C5*(1+'Rhaniad y Ddeiliadaeth (Cymru)'!C$109)+(C$44*(-(50-$B5)*('Rhaniad y Ddeiliadaeth (Cymru)'!C$110/40)))</f>
        <v>12416.006844605712</v>
      </c>
      <c r="E5" s="57">
        <f>D5*(1+'Rhaniad y Ddeiliadaeth (Cymru)'!D$109)+(D$44*(-(50-$B5)*('Rhaniad y Ddeiliadaeth (Cymru)'!D$110/40)))</f>
        <v>12474.492759020501</v>
      </c>
      <c r="F5" s="57">
        <f>E5*(1+'Rhaniad y Ddeiliadaeth (Cymru)'!E$109)+(E$44*(-(50-$B5)*('Rhaniad y Ddeiliadaeth (Cymru)'!E$110/40)))</f>
        <v>12616.245185501255</v>
      </c>
      <c r="G5" s="57">
        <f>F5*(1+'Rhaniad y Ddeiliadaeth (Cymru)'!F$109)+(F$44*(-(50-$B5)*('Rhaniad y Ddeiliadaeth (Cymru)'!F$110/40)))</f>
        <v>12807.907774395331</v>
      </c>
      <c r="H5" s="58">
        <f>G5*(1+'Rhaniad y Ddeiliadaeth (Cymru)'!G$109)+(G$44*(-(50-$B5)*('Rhaniad y Ddeiliadaeth (Cymru)'!G$110/40)))</f>
        <v>13008.939682903003</v>
      </c>
      <c r="J5" s="68" t="str">
        <f>IF(J4="","","Dim ond data ar gyfer un flwyddyn sydd angen i chi ychwanegu (unai 2017 neu 2018)")</f>
        <v/>
      </c>
      <c r="L5" s="62" t="str">
        <f t="shared" si="0"/>
        <v/>
      </c>
      <c r="M5" s="227"/>
      <c r="N5" s="14">
        <f t="shared" ref="N5:N68" si="3">IF(ISBLANK(M5),1,0)</f>
        <v>1</v>
      </c>
      <c r="T5" s="1">
        <f t="shared" si="1"/>
        <v>11</v>
      </c>
      <c r="U5" s="4" t="str">
        <f t="shared" si="2"/>
        <v/>
      </c>
      <c r="V5" s="4" t="e">
        <f>IF($V$3=$M$3,M5,U5*(1+'Rhaniad y Ddeiliadaeth (Cymru)'!C$109)+(U$44*(-(50-$T5)*('Rhaniad y Ddeiliadaeth (Cymru)'!C$110/40))))</f>
        <v>#VALUE!</v>
      </c>
      <c r="W5" s="4" t="e">
        <f>V5*(1+'Rhaniad y Ddeiliadaeth (Cymru)'!D$109)+(V$44*(-(50-$T5)*('Rhaniad y Ddeiliadaeth (Cymru)'!D$110/40)))</f>
        <v>#VALUE!</v>
      </c>
      <c r="X5" s="4" t="e">
        <f>W5*(1+'Rhaniad y Ddeiliadaeth (Cymru)'!E$109)+(W$44*(-(50-$T5)*('Rhaniad y Ddeiliadaeth (Cymru)'!E$110/40)))</f>
        <v>#VALUE!</v>
      </c>
      <c r="Y5" s="4" t="e">
        <f>X5*(1+'Rhaniad y Ddeiliadaeth (Cymru)'!F$109)+(X$44*(-(50-$T5)*('Rhaniad y Ddeiliadaeth (Cymru)'!F$110/40)))</f>
        <v>#VALUE!</v>
      </c>
      <c r="Z5" s="4" t="e">
        <f>Y5*(1+'Rhaniad y Ddeiliadaeth (Cymru)'!G$109)+(Y$44*(-(50-$T5)*('Rhaniad y Ddeiliadaeth (Cymru)'!G$110/40)))</f>
        <v>#VALUE!</v>
      </c>
      <c r="AB5">
        <v>11</v>
      </c>
      <c r="AC5" s="4">
        <f>IF('Rhaniad y Ddeiliadaeth (Cymru)'!$D$8="Amcangyfrifon LlC",'Incwm (Cymru)'!D5,'Incwm (Cymru)'!V5)</f>
        <v>12416.006844605712</v>
      </c>
      <c r="AD5" s="4">
        <f>IF('Rhaniad y Ddeiliadaeth (Cymru)'!$D$8="Amcangyfrifon LlC",'Incwm (Cymru)'!E5,'Incwm (Cymru)'!W5)</f>
        <v>12474.492759020501</v>
      </c>
      <c r="AE5" s="4">
        <f>IF('Rhaniad y Ddeiliadaeth (Cymru)'!$D$8="Amcangyfrifon LlC",'Incwm (Cymru)'!F5,'Incwm (Cymru)'!X5)</f>
        <v>12616.245185501255</v>
      </c>
      <c r="AF5" s="4">
        <f>IF('Rhaniad y Ddeiliadaeth (Cymru)'!$D$8="Amcangyfrifon LlC",'Incwm (Cymru)'!G5,'Incwm (Cymru)'!Y5)</f>
        <v>12807.907774395331</v>
      </c>
      <c r="AG5" s="4">
        <f>IF('Rhaniad y Ddeiliadaeth (Cymru)'!$D$8="Amcangyfrifon LlC",'Incwm (Cymru)'!H5,'Incwm (Cymru)'!Z5)</f>
        <v>13008.939682903003</v>
      </c>
    </row>
    <row r="6" spans="2:33" x14ac:dyDescent="0.25">
      <c r="B6" s="20">
        <v>12</v>
      </c>
      <c r="C6" s="56">
        <v>12633</v>
      </c>
      <c r="D6" s="57">
        <f>C6*(1+'Rhaniad y Ddeiliadaeth (Cymru)'!C$109)+(C$44*(-(50-$B6)*('Rhaniad y Ddeiliadaeth (Cymru)'!C$110/40)))</f>
        <v>12834.544347443112</v>
      </c>
      <c r="E6" s="57">
        <f>D6*(1+'Rhaniad y Ddeiliadaeth (Cymru)'!D$109)+(D$44*(-(50-$B6)*('Rhaniad y Ddeiliadaeth (Cymru)'!D$110/40)))</f>
        <v>12910.477116177506</v>
      </c>
      <c r="F6" s="57">
        <f>E6*(1+'Rhaniad y Ddeiliadaeth (Cymru)'!E$109)+(E$44*(-(50-$B6)*('Rhaniad y Ddeiliadaeth (Cymru)'!E$110/40)))</f>
        <v>13073.38879649987</v>
      </c>
      <c r="G6" s="57">
        <f>F6*(1+'Rhaniad y Ddeiliadaeth (Cymru)'!F$109)+(F$44*(-(50-$B6)*('Rhaniad y Ddeiliadaeth (Cymru)'!F$110/40)))</f>
        <v>13289.08755159005</v>
      </c>
      <c r="H6" s="58">
        <f>G6*(1+'Rhaniad y Ddeiliadaeth (Cymru)'!G$109)+(G$44*(-(50-$B6)*('Rhaniad y Ddeiliadaeth (Cymru)'!G$110/40)))</f>
        <v>13515.77950221967</v>
      </c>
      <c r="L6" s="62" t="str">
        <f t="shared" si="0"/>
        <v/>
      </c>
      <c r="M6" s="227"/>
      <c r="N6" s="14">
        <f t="shared" si="3"/>
        <v>1</v>
      </c>
      <c r="T6" s="1">
        <f t="shared" si="1"/>
        <v>12</v>
      </c>
      <c r="U6" s="4" t="str">
        <f t="shared" si="2"/>
        <v/>
      </c>
      <c r="V6" s="4" t="e">
        <f>IF($V$3=$M$3,M6,U6*(1+'Rhaniad y Ddeiliadaeth (Cymru)'!C$109)+(U$44*(-(50-$T6)*('Rhaniad y Ddeiliadaeth (Cymru)'!C$110/40))))</f>
        <v>#VALUE!</v>
      </c>
      <c r="W6" s="4" t="e">
        <f>V6*(1+'Rhaniad y Ddeiliadaeth (Cymru)'!D$109)+(V$44*(-(50-$T6)*('Rhaniad y Ddeiliadaeth (Cymru)'!D$110/40)))</f>
        <v>#VALUE!</v>
      </c>
      <c r="X6" s="4" t="e">
        <f>W6*(1+'Rhaniad y Ddeiliadaeth (Cymru)'!E$109)+(W$44*(-(50-$T6)*('Rhaniad y Ddeiliadaeth (Cymru)'!E$110/40)))</f>
        <v>#VALUE!</v>
      </c>
      <c r="Y6" s="4" t="e">
        <f>X6*(1+'Rhaniad y Ddeiliadaeth (Cymru)'!F$109)+(X$44*(-(50-$T6)*('Rhaniad y Ddeiliadaeth (Cymru)'!F$110/40)))</f>
        <v>#VALUE!</v>
      </c>
      <c r="Z6" s="4" t="e">
        <f>Y6*(1+'Rhaniad y Ddeiliadaeth (Cymru)'!G$109)+(Y$44*(-(50-$T6)*('Rhaniad y Ddeiliadaeth (Cymru)'!G$110/40)))</f>
        <v>#VALUE!</v>
      </c>
      <c r="AB6">
        <v>12</v>
      </c>
      <c r="AC6" s="4">
        <f>IF('Rhaniad y Ddeiliadaeth (Cymru)'!$D$8="Amcangyfrifon LlC",'Incwm (Cymru)'!D6,'Incwm (Cymru)'!V6)</f>
        <v>12834.544347443112</v>
      </c>
      <c r="AD6" s="4">
        <f>IF('Rhaniad y Ddeiliadaeth (Cymru)'!$D$8="Amcangyfrifon LlC",'Incwm (Cymru)'!E6,'Incwm (Cymru)'!W6)</f>
        <v>12910.477116177506</v>
      </c>
      <c r="AE6" s="4">
        <f>IF('Rhaniad y Ddeiliadaeth (Cymru)'!$D$8="Amcangyfrifon LlC",'Incwm (Cymru)'!F6,'Incwm (Cymru)'!X6)</f>
        <v>13073.38879649987</v>
      </c>
      <c r="AF6" s="4">
        <f>IF('Rhaniad y Ddeiliadaeth (Cymru)'!$D$8="Amcangyfrifon LlC",'Incwm (Cymru)'!G6,'Incwm (Cymru)'!Y6)</f>
        <v>13289.08755159005</v>
      </c>
      <c r="AG6" s="4">
        <f>IF('Rhaniad y Ddeiliadaeth (Cymru)'!$D$8="Amcangyfrifon LlC",'Incwm (Cymru)'!H6,'Incwm (Cymru)'!Z6)</f>
        <v>13515.77950221967</v>
      </c>
    </row>
    <row r="7" spans="2:33" x14ac:dyDescent="0.25">
      <c r="B7" s="20">
        <v>13</v>
      </c>
      <c r="C7" s="56">
        <v>12919.2</v>
      </c>
      <c r="D7" s="57">
        <f>C7*(1+'Rhaniad y Ddeiliadaeth (Cymru)'!C$109)+(C$44*(-(50-$B7)*('Rhaniad y Ddeiliadaeth (Cymru)'!C$110/40)))</f>
        <v>13137.326661135485</v>
      </c>
      <c r="E7" s="57">
        <f>D7*(1+'Rhaniad y Ddeiliadaeth (Cymru)'!D$109)+(D$44*(-(50-$B7)*('Rhaniad y Ddeiliadaeth (Cymru)'!D$110/40)))</f>
        <v>13227.730080009063</v>
      </c>
      <c r="F7" s="57">
        <f>E7*(1+'Rhaniad y Ddeiliadaeth (Cymru)'!E$109)+(E$44*(-(50-$B7)*('Rhaniad y Ddeiliadaeth (Cymru)'!E$110/40)))</f>
        <v>13407.906266906375</v>
      </c>
      <c r="G7" s="57">
        <f>F7*(1+'Rhaniad y Ddeiliadaeth (Cymru)'!F$109)+(F$44*(-(50-$B7)*('Rhaniad y Ddeiliadaeth (Cymru)'!F$110/40)))</f>
        <v>13643.093493222503</v>
      </c>
      <c r="H7" s="58">
        <f>G7*(1+'Rhaniad y Ddeiliadaeth (Cymru)'!G$109)+(G$44*(-(50-$B7)*('Rhaniad y Ddeiliadaeth (Cymru)'!G$110/40)))</f>
        <v>13890.60496707681</v>
      </c>
      <c r="J7" s="11" t="str">
        <f>IF(J4="","",IF(N85=1,"Mewnbwn y defnyddiwr yn anghyflawn",IF(N85=0,"Mewnbwn y defnyddiwr yn gyflawn","")))</f>
        <v/>
      </c>
      <c r="L7" s="62" t="str">
        <f t="shared" si="0"/>
        <v/>
      </c>
      <c r="M7" s="227"/>
      <c r="N7" s="14">
        <f t="shared" si="3"/>
        <v>1</v>
      </c>
      <c r="T7" s="1">
        <f t="shared" si="1"/>
        <v>13</v>
      </c>
      <c r="U7" s="4" t="str">
        <f t="shared" si="2"/>
        <v/>
      </c>
      <c r="V7" s="4" t="e">
        <f>IF($V$3=$M$3,M7,U7*(1+'Rhaniad y Ddeiliadaeth (Cymru)'!C$109)+(U$44*(-(50-$T7)*('Rhaniad y Ddeiliadaeth (Cymru)'!C$110/40))))</f>
        <v>#VALUE!</v>
      </c>
      <c r="W7" s="4" t="e">
        <f>V7*(1+'Rhaniad y Ddeiliadaeth (Cymru)'!D$109)+(V$44*(-(50-$T7)*('Rhaniad y Ddeiliadaeth (Cymru)'!D$110/40)))</f>
        <v>#VALUE!</v>
      </c>
      <c r="X7" s="4" t="e">
        <f>W7*(1+'Rhaniad y Ddeiliadaeth (Cymru)'!E$109)+(W$44*(-(50-$T7)*('Rhaniad y Ddeiliadaeth (Cymru)'!E$110/40)))</f>
        <v>#VALUE!</v>
      </c>
      <c r="Y7" s="4" t="e">
        <f>X7*(1+'Rhaniad y Ddeiliadaeth (Cymru)'!F$109)+(X$44*(-(50-$T7)*('Rhaniad y Ddeiliadaeth (Cymru)'!F$110/40)))</f>
        <v>#VALUE!</v>
      </c>
      <c r="Z7" s="4" t="e">
        <f>Y7*(1+'Rhaniad y Ddeiliadaeth (Cymru)'!G$109)+(Y$44*(-(50-$T7)*('Rhaniad y Ddeiliadaeth (Cymru)'!G$110/40)))</f>
        <v>#VALUE!</v>
      </c>
      <c r="AB7">
        <v>13</v>
      </c>
      <c r="AC7" s="4">
        <f>IF('Rhaniad y Ddeiliadaeth (Cymru)'!$D$8="Amcangyfrifon LlC",'Incwm (Cymru)'!D7,'Incwm (Cymru)'!V7)</f>
        <v>13137.326661135485</v>
      </c>
      <c r="AD7" s="4">
        <f>IF('Rhaniad y Ddeiliadaeth (Cymru)'!$D$8="Amcangyfrifon LlC",'Incwm (Cymru)'!E7,'Incwm (Cymru)'!W7)</f>
        <v>13227.730080009063</v>
      </c>
      <c r="AE7" s="4">
        <f>IF('Rhaniad y Ddeiliadaeth (Cymru)'!$D$8="Amcangyfrifon LlC",'Incwm (Cymru)'!F7,'Incwm (Cymru)'!X7)</f>
        <v>13407.906266906375</v>
      </c>
      <c r="AF7" s="4">
        <f>IF('Rhaniad y Ddeiliadaeth (Cymru)'!$D$8="Amcangyfrifon LlC",'Incwm (Cymru)'!G7,'Incwm (Cymru)'!Y7)</f>
        <v>13643.093493222503</v>
      </c>
      <c r="AG7" s="4">
        <f>IF('Rhaniad y Ddeiliadaeth (Cymru)'!$D$8="Amcangyfrifon LlC",'Incwm (Cymru)'!H7,'Incwm (Cymru)'!Z7)</f>
        <v>13890.60496707681</v>
      </c>
    </row>
    <row r="8" spans="2:33" x14ac:dyDescent="0.25">
      <c r="B8" s="20">
        <v>14</v>
      </c>
      <c r="C8" s="56">
        <v>12974.75</v>
      </c>
      <c r="D8" s="57">
        <f>C8*(1+'Rhaniad y Ddeiliadaeth (Cymru)'!C$109)+(C$44*(-(50-$B8)*('Rhaniad y Ddeiliadaeth (Cymru)'!C$110/40)))</f>
        <v>13201.299186131066</v>
      </c>
      <c r="E8" s="57">
        <f>D8*(1+'Rhaniad y Ddeiliadaeth (Cymru)'!D$109)+(D$44*(-(50-$B8)*('Rhaniad y Ddeiliadaeth (Cymru)'!D$110/40)))</f>
        <v>13300.033170222416</v>
      </c>
      <c r="F8" s="57">
        <f>E8*(1+'Rhaniad y Ddeiliadaeth (Cymru)'!E$109)+(E$44*(-(50-$B8)*('Rhaniad y Ddeiliadaeth (Cymru)'!E$110/40)))</f>
        <v>13489.438770161083</v>
      </c>
      <c r="G8" s="57">
        <f>F8*(1+'Rhaniad y Ddeiliadaeth (Cymru)'!F$109)+(F$44*(-(50-$B8)*('Rhaniad y Ddeiliadaeth (Cymru)'!F$110/40)))</f>
        <v>13734.732304511152</v>
      </c>
      <c r="H8" s="58">
        <f>G8*(1+'Rhaniad y Ddeiliadaeth (Cymru)'!G$109)+(G$44*(-(50-$B8)*('Rhaniad y Ddeiliadaeth (Cymru)'!G$110/40)))</f>
        <v>13993.077025349954</v>
      </c>
      <c r="L8" s="62" t="str">
        <f t="shared" si="0"/>
        <v/>
      </c>
      <c r="M8" s="227"/>
      <c r="N8" s="14">
        <f t="shared" si="3"/>
        <v>1</v>
      </c>
      <c r="T8" s="1">
        <f t="shared" si="1"/>
        <v>14</v>
      </c>
      <c r="U8" s="4" t="str">
        <f t="shared" si="2"/>
        <v/>
      </c>
      <c r="V8" s="4" t="e">
        <f>IF($V$3=$M$3,M8,U8*(1+'Rhaniad y Ddeiliadaeth (Cymru)'!C$109)+(U$44*(-(50-$T8)*('Rhaniad y Ddeiliadaeth (Cymru)'!C$110/40))))</f>
        <v>#VALUE!</v>
      </c>
      <c r="W8" s="4" t="e">
        <f>V8*(1+'Rhaniad y Ddeiliadaeth (Cymru)'!D$109)+(V$44*(-(50-$T8)*('Rhaniad y Ddeiliadaeth (Cymru)'!D$110/40)))</f>
        <v>#VALUE!</v>
      </c>
      <c r="X8" s="4" t="e">
        <f>W8*(1+'Rhaniad y Ddeiliadaeth (Cymru)'!E$109)+(W$44*(-(50-$T8)*('Rhaniad y Ddeiliadaeth (Cymru)'!E$110/40)))</f>
        <v>#VALUE!</v>
      </c>
      <c r="Y8" s="4" t="e">
        <f>X8*(1+'Rhaniad y Ddeiliadaeth (Cymru)'!F$109)+(X$44*(-(50-$T8)*('Rhaniad y Ddeiliadaeth (Cymru)'!F$110/40)))</f>
        <v>#VALUE!</v>
      </c>
      <c r="Z8" s="4" t="e">
        <f>Y8*(1+'Rhaniad y Ddeiliadaeth (Cymru)'!G$109)+(Y$44*(-(50-$T8)*('Rhaniad y Ddeiliadaeth (Cymru)'!G$110/40)))</f>
        <v>#VALUE!</v>
      </c>
      <c r="AB8">
        <v>14</v>
      </c>
      <c r="AC8" s="4">
        <f>IF('Rhaniad y Ddeiliadaeth (Cymru)'!$D$8="Amcangyfrifon LlC",'Incwm (Cymru)'!D8,'Incwm (Cymru)'!V8)</f>
        <v>13201.299186131066</v>
      </c>
      <c r="AD8" s="4">
        <f>IF('Rhaniad y Ddeiliadaeth (Cymru)'!$D$8="Amcangyfrifon LlC",'Incwm (Cymru)'!E8,'Incwm (Cymru)'!W8)</f>
        <v>13300.033170222416</v>
      </c>
      <c r="AE8" s="4">
        <f>IF('Rhaniad y Ddeiliadaeth (Cymru)'!$D$8="Amcangyfrifon LlC",'Incwm (Cymru)'!F8,'Incwm (Cymru)'!X8)</f>
        <v>13489.438770161083</v>
      </c>
      <c r="AF8" s="4">
        <f>IF('Rhaniad y Ddeiliadaeth (Cymru)'!$D$8="Amcangyfrifon LlC",'Incwm (Cymru)'!G8,'Incwm (Cymru)'!Y8)</f>
        <v>13734.732304511152</v>
      </c>
      <c r="AG8" s="4">
        <f>IF('Rhaniad y Ddeiliadaeth (Cymru)'!$D$8="Amcangyfrifon LlC",'Incwm (Cymru)'!H8,'Incwm (Cymru)'!Z8)</f>
        <v>13993.077025349954</v>
      </c>
    </row>
    <row r="9" spans="2:33" x14ac:dyDescent="0.25">
      <c r="B9" s="20">
        <v>15</v>
      </c>
      <c r="C9" s="56">
        <v>13210.1</v>
      </c>
      <c r="D9" s="57">
        <f>C9*(1+'Rhaniad y Ddeiliadaeth (Cymru)'!C$109)+(C$44*(-(50-$B9)*('Rhaniad y Ddeiliadaeth (Cymru)'!C$110/40)))</f>
        <v>13451.43256093234</v>
      </c>
      <c r="E9" s="57">
        <f>D9*(1+'Rhaniad y Ddeiliadaeth (Cymru)'!D$109)+(D$44*(-(50-$B9)*('Rhaniad y Ddeiliadaeth (Cymru)'!D$110/40)))</f>
        <v>13563.283528055772</v>
      </c>
      <c r="F9" s="57">
        <f>E9*(1+'Rhaniad y Ddeiliadaeth (Cymru)'!E$109)+(E$44*(-(50-$B9)*('Rhaniad y Ddeiliadaeth (Cymru)'!E$110/40)))</f>
        <v>13768.182186461072</v>
      </c>
      <c r="G9" s="57">
        <f>F9*(1+'Rhaniad y Ddeiliadaeth (Cymru)'!F$109)+(F$44*(-(50-$B9)*('Rhaniad y Ddeiliadaeth (Cymru)'!F$110/40)))</f>
        <v>14030.89576368975</v>
      </c>
      <c r="H9" s="58">
        <f>G9*(1+'Rhaniad y Ddeiliadaeth (Cymru)'!G$109)+(G$44*(-(50-$B9)*('Rhaniad y Ddeiliadaeth (Cymru)'!G$110/40)))</f>
        <v>14307.858394283421</v>
      </c>
      <c r="J9" s="420" t="str">
        <f>IF(J4="","Os hoffech ddefnyddio data eich hunain ar gyfer dosbarthiad incwm, newidwch eich dewislen.","")</f>
        <v>Os hoffech ddefnyddio data eich hunain ar gyfer dosbarthiad incwm, newidwch eich dewislen.</v>
      </c>
      <c r="L9" s="62" t="str">
        <f t="shared" si="0"/>
        <v/>
      </c>
      <c r="M9" s="227"/>
      <c r="N9" s="14">
        <f t="shared" si="3"/>
        <v>1</v>
      </c>
      <c r="T9" s="1">
        <f t="shared" si="1"/>
        <v>15</v>
      </c>
      <c r="U9" s="4" t="str">
        <f t="shared" si="2"/>
        <v/>
      </c>
      <c r="V9" s="4" t="e">
        <f>IF($V$3=$M$3,M9,U9*(1+'Rhaniad y Ddeiliadaeth (Cymru)'!C$109)+(U$44*(-(50-$T9)*('Rhaniad y Ddeiliadaeth (Cymru)'!C$110/40))))</f>
        <v>#VALUE!</v>
      </c>
      <c r="W9" s="4" t="e">
        <f>V9*(1+'Rhaniad y Ddeiliadaeth (Cymru)'!D$109)+(V$44*(-(50-$T9)*('Rhaniad y Ddeiliadaeth (Cymru)'!D$110/40)))</f>
        <v>#VALUE!</v>
      </c>
      <c r="X9" s="4" t="e">
        <f>W9*(1+'Rhaniad y Ddeiliadaeth (Cymru)'!E$109)+(W$44*(-(50-$T9)*('Rhaniad y Ddeiliadaeth (Cymru)'!E$110/40)))</f>
        <v>#VALUE!</v>
      </c>
      <c r="Y9" s="4" t="e">
        <f>X9*(1+'Rhaniad y Ddeiliadaeth (Cymru)'!F$109)+(X$44*(-(50-$T9)*('Rhaniad y Ddeiliadaeth (Cymru)'!F$110/40)))</f>
        <v>#VALUE!</v>
      </c>
      <c r="Z9" s="4" t="e">
        <f>Y9*(1+'Rhaniad y Ddeiliadaeth (Cymru)'!G$109)+(Y$44*(-(50-$T9)*('Rhaniad y Ddeiliadaeth (Cymru)'!G$110/40)))</f>
        <v>#VALUE!</v>
      </c>
      <c r="AB9">
        <v>15</v>
      </c>
      <c r="AC9" s="4">
        <f>IF('Rhaniad y Ddeiliadaeth (Cymru)'!$D$8="Amcangyfrifon LlC",'Incwm (Cymru)'!D9,'Incwm (Cymru)'!V9)</f>
        <v>13451.43256093234</v>
      </c>
      <c r="AD9" s="4">
        <f>IF('Rhaniad y Ddeiliadaeth (Cymru)'!$D$8="Amcangyfrifon LlC",'Incwm (Cymru)'!E9,'Incwm (Cymru)'!W9)</f>
        <v>13563.283528055772</v>
      </c>
      <c r="AE9" s="4">
        <f>IF('Rhaniad y Ddeiliadaeth (Cymru)'!$D$8="Amcangyfrifon LlC",'Incwm (Cymru)'!F9,'Incwm (Cymru)'!X9)</f>
        <v>13768.182186461072</v>
      </c>
      <c r="AF9" s="4">
        <f>IF('Rhaniad y Ddeiliadaeth (Cymru)'!$D$8="Amcangyfrifon LlC",'Incwm (Cymru)'!G9,'Incwm (Cymru)'!Y9)</f>
        <v>14030.89576368975</v>
      </c>
      <c r="AG9" s="4">
        <f>IF('Rhaniad y Ddeiliadaeth (Cymru)'!$D$8="Amcangyfrifon LlC",'Incwm (Cymru)'!H9,'Incwm (Cymru)'!Z9)</f>
        <v>14307.858394283421</v>
      </c>
    </row>
    <row r="10" spans="2:33" x14ac:dyDescent="0.25">
      <c r="B10" s="20">
        <v>16</v>
      </c>
      <c r="C10" s="56">
        <v>13605.1</v>
      </c>
      <c r="D10" s="57">
        <f>C10*(1+'Rhaniad y Ddeiliadaeth (Cymru)'!C$109)+(C$44*(-(50-$B10)*('Rhaniad y Ddeiliadaeth (Cymru)'!C$110/40)))</f>
        <v>13866.86393168177</v>
      </c>
      <c r="E10" s="57">
        <f>D10*(1+'Rhaniad y Ddeiliadaeth (Cymru)'!D$109)+(D$44*(-(50-$B10)*('Rhaniad y Ddeiliadaeth (Cymru)'!D$110/40)))</f>
        <v>13996.081890758605</v>
      </c>
      <c r="F10" s="57">
        <f>E10*(1+'Rhaniad y Ddeiliadaeth (Cymru)'!E$109)+(E$44*(-(50-$B10)*('Rhaniad y Ddeiliadaeth (Cymru)'!E$110/40)))</f>
        <v>14222.035292792634</v>
      </c>
      <c r="G10" s="57">
        <f>F10*(1+'Rhaniad y Ddeiliadaeth (Cymru)'!F$109)+(F$44*(-(50-$B10)*('Rhaniad y Ddeiliadaeth (Cymru)'!F$110/40)))</f>
        <v>14508.663005046483</v>
      </c>
      <c r="H10" s="58">
        <f>G10*(1+'Rhaniad y Ddeiliadaeth (Cymru)'!G$109)+(G$44*(-(50-$B10)*('Rhaniad y Ddeiliadaeth (Cymru)'!G$110/40)))</f>
        <v>14811.155789061819</v>
      </c>
      <c r="J10" s="420"/>
      <c r="L10" s="62" t="str">
        <f t="shared" si="0"/>
        <v/>
      </c>
      <c r="M10" s="227"/>
      <c r="N10" s="14">
        <f t="shared" si="3"/>
        <v>1</v>
      </c>
      <c r="T10" s="1">
        <f t="shared" si="1"/>
        <v>16</v>
      </c>
      <c r="U10" s="4" t="str">
        <f t="shared" si="2"/>
        <v/>
      </c>
      <c r="V10" s="4" t="e">
        <f>IF($V$3=$M$3,M10,U10*(1+'Rhaniad y Ddeiliadaeth (Cymru)'!C$109)+(U$44*(-(50-$T10)*('Rhaniad y Ddeiliadaeth (Cymru)'!C$110/40))))</f>
        <v>#VALUE!</v>
      </c>
      <c r="W10" s="4" t="e">
        <f>V10*(1+'Rhaniad y Ddeiliadaeth (Cymru)'!D$109)+(V$44*(-(50-$T10)*('Rhaniad y Ddeiliadaeth (Cymru)'!D$110/40)))</f>
        <v>#VALUE!</v>
      </c>
      <c r="X10" s="4" t="e">
        <f>W10*(1+'Rhaniad y Ddeiliadaeth (Cymru)'!E$109)+(W$44*(-(50-$T10)*('Rhaniad y Ddeiliadaeth (Cymru)'!E$110/40)))</f>
        <v>#VALUE!</v>
      </c>
      <c r="Y10" s="4" t="e">
        <f>X10*(1+'Rhaniad y Ddeiliadaeth (Cymru)'!F$109)+(X$44*(-(50-$T10)*('Rhaniad y Ddeiliadaeth (Cymru)'!F$110/40)))</f>
        <v>#VALUE!</v>
      </c>
      <c r="Z10" s="4" t="e">
        <f>Y10*(1+'Rhaniad y Ddeiliadaeth (Cymru)'!G$109)+(Y$44*(-(50-$T10)*('Rhaniad y Ddeiliadaeth (Cymru)'!G$110/40)))</f>
        <v>#VALUE!</v>
      </c>
      <c r="AB10">
        <v>16</v>
      </c>
      <c r="AC10" s="4">
        <f>IF('Rhaniad y Ddeiliadaeth (Cymru)'!$D$8="Amcangyfrifon LlC",'Incwm (Cymru)'!D10,'Incwm (Cymru)'!V10)</f>
        <v>13866.86393168177</v>
      </c>
      <c r="AD10" s="4">
        <f>IF('Rhaniad y Ddeiliadaeth (Cymru)'!$D$8="Amcangyfrifon LlC",'Incwm (Cymru)'!E10,'Incwm (Cymru)'!W10)</f>
        <v>13996.081890758605</v>
      </c>
      <c r="AE10" s="4">
        <f>IF('Rhaniad y Ddeiliadaeth (Cymru)'!$D$8="Amcangyfrifon LlC",'Incwm (Cymru)'!F10,'Incwm (Cymru)'!X10)</f>
        <v>14222.035292792634</v>
      </c>
      <c r="AF10" s="4">
        <f>IF('Rhaniad y Ddeiliadaeth (Cymru)'!$D$8="Amcangyfrifon LlC",'Incwm (Cymru)'!G10,'Incwm (Cymru)'!Y10)</f>
        <v>14508.663005046483</v>
      </c>
      <c r="AG10" s="4">
        <f>IF('Rhaniad y Ddeiliadaeth (Cymru)'!$D$8="Amcangyfrifon LlC",'Incwm (Cymru)'!H10,'Incwm (Cymru)'!Z10)</f>
        <v>14811.155789061819</v>
      </c>
    </row>
    <row r="11" spans="2:33" x14ac:dyDescent="0.25">
      <c r="B11" s="20">
        <v>17</v>
      </c>
      <c r="C11" s="56">
        <v>13977.5</v>
      </c>
      <c r="D11" s="57">
        <f>C11*(1+'Rhaniad y Ddeiliadaeth (Cymru)'!C$109)+(C$44*(-(50-$B11)*('Rhaniad y Ddeiliadaeth (Cymru)'!C$110/40)))</f>
        <v>14258.895774035152</v>
      </c>
      <c r="E11" s="57">
        <f>D11*(1+'Rhaniad y Ddeiliadaeth (Cymru)'!D$109)+(D$44*(-(50-$B11)*('Rhaniad y Ddeiliadaeth (Cymru)'!D$110/40)))</f>
        <v>14404.87909524001</v>
      </c>
      <c r="F11" s="57">
        <f>E11*(1+'Rhaniad y Ddeiliadaeth (Cymru)'!E$109)+(E$44*(-(50-$B11)*('Rhaniad y Ddeiliadaeth (Cymru)'!E$110/40)))</f>
        <v>14651.099930632407</v>
      </c>
      <c r="G11" s="57">
        <f>F11*(1+'Rhaniad y Ddeiliadaeth (Cymru)'!F$109)+(F$44*(-(50-$B11)*('Rhaniad y Ddeiliadaeth (Cymru)'!F$110/40)))</f>
        <v>14960.722476423718</v>
      </c>
      <c r="H11" s="58">
        <f>G11*(1+'Rhaniad y Ddeiliadaeth (Cymru)'!G$109)+(G$44*(-(50-$B11)*('Rhaniad y Ddeiliadaeth (Cymru)'!G$110/40)))</f>
        <v>15287.76691898524</v>
      </c>
      <c r="L11" s="62" t="str">
        <f t="shared" si="0"/>
        <v/>
      </c>
      <c r="M11" s="227"/>
      <c r="N11" s="14">
        <f t="shared" si="3"/>
        <v>1</v>
      </c>
      <c r="T11" s="1">
        <f t="shared" si="1"/>
        <v>17</v>
      </c>
      <c r="U11" s="4" t="str">
        <f t="shared" si="2"/>
        <v/>
      </c>
      <c r="V11" s="4" t="e">
        <f>IF($V$3=$M$3,M11,U11*(1+'Rhaniad y Ddeiliadaeth (Cymru)'!C$109)+(U$44*(-(50-$T11)*('Rhaniad y Ddeiliadaeth (Cymru)'!C$110/40))))</f>
        <v>#VALUE!</v>
      </c>
      <c r="W11" s="4" t="e">
        <f>V11*(1+'Rhaniad y Ddeiliadaeth (Cymru)'!D$109)+(V$44*(-(50-$T11)*('Rhaniad y Ddeiliadaeth (Cymru)'!D$110/40)))</f>
        <v>#VALUE!</v>
      </c>
      <c r="X11" s="4" t="e">
        <f>W11*(1+'Rhaniad y Ddeiliadaeth (Cymru)'!E$109)+(W$44*(-(50-$T11)*('Rhaniad y Ddeiliadaeth (Cymru)'!E$110/40)))</f>
        <v>#VALUE!</v>
      </c>
      <c r="Y11" s="4" t="e">
        <f>X11*(1+'Rhaniad y Ddeiliadaeth (Cymru)'!F$109)+(X$44*(-(50-$T11)*('Rhaniad y Ddeiliadaeth (Cymru)'!F$110/40)))</f>
        <v>#VALUE!</v>
      </c>
      <c r="Z11" s="4" t="e">
        <f>Y11*(1+'Rhaniad y Ddeiliadaeth (Cymru)'!G$109)+(Y$44*(-(50-$T11)*('Rhaniad y Ddeiliadaeth (Cymru)'!G$110/40)))</f>
        <v>#VALUE!</v>
      </c>
      <c r="AB11">
        <v>17</v>
      </c>
      <c r="AC11" s="4">
        <f>IF('Rhaniad y Ddeiliadaeth (Cymru)'!$D$8="Amcangyfrifon LlC",'Incwm (Cymru)'!D11,'Incwm (Cymru)'!V11)</f>
        <v>14258.895774035152</v>
      </c>
      <c r="AD11" s="4">
        <f>IF('Rhaniad y Ddeiliadaeth (Cymru)'!$D$8="Amcangyfrifon LlC",'Incwm (Cymru)'!E11,'Incwm (Cymru)'!W11)</f>
        <v>14404.87909524001</v>
      </c>
      <c r="AE11" s="4">
        <f>IF('Rhaniad y Ddeiliadaeth (Cymru)'!$D$8="Amcangyfrifon LlC",'Incwm (Cymru)'!F11,'Incwm (Cymru)'!X11)</f>
        <v>14651.099930632407</v>
      </c>
      <c r="AF11" s="4">
        <f>IF('Rhaniad y Ddeiliadaeth (Cymru)'!$D$8="Amcangyfrifon LlC",'Incwm (Cymru)'!G11,'Incwm (Cymru)'!Y11)</f>
        <v>14960.722476423718</v>
      </c>
      <c r="AG11" s="4">
        <f>IF('Rhaniad y Ddeiliadaeth (Cymru)'!$D$8="Amcangyfrifon LlC",'Incwm (Cymru)'!H11,'Incwm (Cymru)'!Z11)</f>
        <v>15287.76691898524</v>
      </c>
    </row>
    <row r="12" spans="2:33" x14ac:dyDescent="0.25">
      <c r="B12" s="20">
        <v>18</v>
      </c>
      <c r="C12" s="56">
        <v>14242.75</v>
      </c>
      <c r="D12" s="57">
        <f>C12*(1+'Rhaniad y Ddeiliadaeth (Cymru)'!C$109)+(C$44*(-(50-$B12)*('Rhaniad y Ddeiliadaeth (Cymru)'!C$110/40)))</f>
        <v>14539.986931979865</v>
      </c>
      <c r="E12" s="57">
        <f>D12*(1+'Rhaniad y Ddeiliadaeth (Cymru)'!D$109)+(D$44*(-(50-$B12)*('Rhaniad y Ddeiliadaeth (Cymru)'!D$110/40)))</f>
        <v>14699.88319779994</v>
      </c>
      <c r="F12" s="57">
        <f>E12*(1+'Rhaniad y Ddeiliadaeth (Cymru)'!E$109)+(E$44*(-(50-$B12)*('Rhaniad y Ddeiliadaeth (Cymru)'!E$110/40)))</f>
        <v>14962.638710114004</v>
      </c>
      <c r="G12" s="57">
        <f>F12*(1+'Rhaniad y Ddeiliadaeth (Cymru)'!F$109)+(F$44*(-(50-$B12)*('Rhaniad y Ddeiliadaeth (Cymru)'!F$110/40)))</f>
        <v>15290.897542787572</v>
      </c>
      <c r="H12" s="58">
        <f>G12*(1+'Rhaniad y Ddeiliadaeth (Cymru)'!G$109)+(G$44*(-(50-$B12)*('Rhaniad y Ddeiliadaeth (Cymru)'!G$110/40)))</f>
        <v>15637.854452483463</v>
      </c>
      <c r="L12" s="62" t="str">
        <f t="shared" si="0"/>
        <v/>
      </c>
      <c r="M12" s="227"/>
      <c r="N12" s="14">
        <f t="shared" si="3"/>
        <v>1</v>
      </c>
      <c r="T12" s="1">
        <f t="shared" si="1"/>
        <v>18</v>
      </c>
      <c r="U12" s="4" t="str">
        <f t="shared" si="2"/>
        <v/>
      </c>
      <c r="V12" s="4" t="e">
        <f>IF($V$3=$M$3,M12,U12*(1+'Rhaniad y Ddeiliadaeth (Cymru)'!C$109)+(U$44*(-(50-$T12)*('Rhaniad y Ddeiliadaeth (Cymru)'!C$110/40))))</f>
        <v>#VALUE!</v>
      </c>
      <c r="W12" s="4" t="e">
        <f>V12*(1+'Rhaniad y Ddeiliadaeth (Cymru)'!D$109)+(V$44*(-(50-$T12)*('Rhaniad y Ddeiliadaeth (Cymru)'!D$110/40)))</f>
        <v>#VALUE!</v>
      </c>
      <c r="X12" s="4" t="e">
        <f>W12*(1+'Rhaniad y Ddeiliadaeth (Cymru)'!E$109)+(W$44*(-(50-$T12)*('Rhaniad y Ddeiliadaeth (Cymru)'!E$110/40)))</f>
        <v>#VALUE!</v>
      </c>
      <c r="Y12" s="4" t="e">
        <f>X12*(1+'Rhaniad y Ddeiliadaeth (Cymru)'!F$109)+(X$44*(-(50-$T12)*('Rhaniad y Ddeiliadaeth (Cymru)'!F$110/40)))</f>
        <v>#VALUE!</v>
      </c>
      <c r="Z12" s="4" t="e">
        <f>Y12*(1+'Rhaniad y Ddeiliadaeth (Cymru)'!G$109)+(Y$44*(-(50-$T12)*('Rhaniad y Ddeiliadaeth (Cymru)'!G$110/40)))</f>
        <v>#VALUE!</v>
      </c>
      <c r="AB12">
        <v>18</v>
      </c>
      <c r="AC12" s="4">
        <f>IF('Rhaniad y Ddeiliadaeth (Cymru)'!$D$8="Amcangyfrifon LlC",'Incwm (Cymru)'!D12,'Incwm (Cymru)'!V12)</f>
        <v>14539.986931979865</v>
      </c>
      <c r="AD12" s="4">
        <f>IF('Rhaniad y Ddeiliadaeth (Cymru)'!$D$8="Amcangyfrifon LlC",'Incwm (Cymru)'!E12,'Incwm (Cymru)'!W12)</f>
        <v>14699.88319779994</v>
      </c>
      <c r="AE12" s="4">
        <f>IF('Rhaniad y Ddeiliadaeth (Cymru)'!$D$8="Amcangyfrifon LlC",'Incwm (Cymru)'!F12,'Incwm (Cymru)'!X12)</f>
        <v>14962.638710114004</v>
      </c>
      <c r="AF12" s="4">
        <f>IF('Rhaniad y Ddeiliadaeth (Cymru)'!$D$8="Amcangyfrifon LlC",'Incwm (Cymru)'!G12,'Incwm (Cymru)'!Y12)</f>
        <v>15290.897542787572</v>
      </c>
      <c r="AG12" s="4">
        <f>IF('Rhaniad y Ddeiliadaeth (Cymru)'!$D$8="Amcangyfrifon LlC",'Incwm (Cymru)'!H12,'Incwm (Cymru)'!Z12)</f>
        <v>15637.854452483463</v>
      </c>
    </row>
    <row r="13" spans="2:33" x14ac:dyDescent="0.25">
      <c r="B13" s="20">
        <v>19</v>
      </c>
      <c r="C13" s="56">
        <v>14642.5</v>
      </c>
      <c r="D13" s="57">
        <f>C13*(1+'Rhaniad y Ddeiliadaeth (Cymru)'!C$109)+(C$44*(-(50-$B13)*('Rhaniad y Ddeiliadaeth (Cymru)'!C$110/40)))</f>
        <v>14960.336345201913</v>
      </c>
      <c r="E13" s="57">
        <f>D13*(1+'Rhaniad y Ddeiliadaeth (Cymru)'!D$109)+(D$44*(-(50-$B13)*('Rhaniad y Ddeiliadaeth (Cymru)'!D$110/40)))</f>
        <v>15137.726051721875</v>
      </c>
      <c r="F13" s="57">
        <f>E13*(1+'Rhaniad y Ddeiliadaeth (Cymru)'!E$109)+(E$44*(-(50-$B13)*('Rhaniad y Ddeiliadaeth (Cymru)'!E$110/40)))</f>
        <v>15421.701782168397</v>
      </c>
      <c r="G13" s="57">
        <f>F13*(1+'Rhaniad y Ddeiliadaeth (Cymru)'!F$109)+(F$44*(-(50-$B13)*('Rhaniad y Ddeiliadaeth (Cymru)'!F$110/40)))</f>
        <v>15774.06796588778</v>
      </c>
      <c r="H13" s="58">
        <f>G13*(1+'Rhaniad y Ddeiliadaeth (Cymru)'!G$109)+(G$44*(-(50-$B13)*('Rhaniad y Ddeiliadaeth (Cymru)'!G$110/40)))</f>
        <v>16146.760686114116</v>
      </c>
      <c r="L13" s="62" t="str">
        <f t="shared" si="0"/>
        <v/>
      </c>
      <c r="M13" s="227"/>
      <c r="N13" s="14">
        <f t="shared" si="3"/>
        <v>1</v>
      </c>
      <c r="T13" s="1">
        <f t="shared" si="1"/>
        <v>19</v>
      </c>
      <c r="U13" s="4" t="str">
        <f t="shared" si="2"/>
        <v/>
      </c>
      <c r="V13" s="4" t="e">
        <f>IF($V$3=$M$3,M13,U13*(1+'Rhaniad y Ddeiliadaeth (Cymru)'!C$109)+(U$44*(-(50-$T13)*('Rhaniad y Ddeiliadaeth (Cymru)'!C$110/40))))</f>
        <v>#VALUE!</v>
      </c>
      <c r="W13" s="4" t="e">
        <f>V13*(1+'Rhaniad y Ddeiliadaeth (Cymru)'!D$109)+(V$44*(-(50-$T13)*('Rhaniad y Ddeiliadaeth (Cymru)'!D$110/40)))</f>
        <v>#VALUE!</v>
      </c>
      <c r="X13" s="4" t="e">
        <f>W13*(1+'Rhaniad y Ddeiliadaeth (Cymru)'!E$109)+(W$44*(-(50-$T13)*('Rhaniad y Ddeiliadaeth (Cymru)'!E$110/40)))</f>
        <v>#VALUE!</v>
      </c>
      <c r="Y13" s="4" t="e">
        <f>X13*(1+'Rhaniad y Ddeiliadaeth (Cymru)'!F$109)+(X$44*(-(50-$T13)*('Rhaniad y Ddeiliadaeth (Cymru)'!F$110/40)))</f>
        <v>#VALUE!</v>
      </c>
      <c r="Z13" s="4" t="e">
        <f>Y13*(1+'Rhaniad y Ddeiliadaeth (Cymru)'!G$109)+(Y$44*(-(50-$T13)*('Rhaniad y Ddeiliadaeth (Cymru)'!G$110/40)))</f>
        <v>#VALUE!</v>
      </c>
      <c r="AB13">
        <v>19</v>
      </c>
      <c r="AC13" s="4">
        <f>IF('Rhaniad y Ddeiliadaeth (Cymru)'!$D$8="Amcangyfrifon LlC",'Incwm (Cymru)'!D13,'Incwm (Cymru)'!V13)</f>
        <v>14960.336345201913</v>
      </c>
      <c r="AD13" s="4">
        <f>IF('Rhaniad y Ddeiliadaeth (Cymru)'!$D$8="Amcangyfrifon LlC",'Incwm (Cymru)'!E13,'Incwm (Cymru)'!W13)</f>
        <v>15137.726051721875</v>
      </c>
      <c r="AE13" s="4">
        <f>IF('Rhaniad y Ddeiliadaeth (Cymru)'!$D$8="Amcangyfrifon LlC",'Incwm (Cymru)'!F13,'Incwm (Cymru)'!X13)</f>
        <v>15421.701782168397</v>
      </c>
      <c r="AF13" s="4">
        <f>IF('Rhaniad y Ddeiliadaeth (Cymru)'!$D$8="Amcangyfrifon LlC",'Incwm (Cymru)'!G13,'Incwm (Cymru)'!Y13)</f>
        <v>15774.06796588778</v>
      </c>
      <c r="AG13" s="4">
        <f>IF('Rhaniad y Ddeiliadaeth (Cymru)'!$D$8="Amcangyfrifon LlC",'Incwm (Cymru)'!H13,'Incwm (Cymru)'!Z13)</f>
        <v>16146.760686114116</v>
      </c>
    </row>
    <row r="14" spans="2:33" x14ac:dyDescent="0.25">
      <c r="B14" s="20">
        <v>20</v>
      </c>
      <c r="C14" s="56">
        <v>14900</v>
      </c>
      <c r="D14" s="57">
        <f>C14*(1+'Rhaniad y Ddeiliadaeth (Cymru)'!C$109)+(C$44*(-(50-$B14)*('Rhaniad y Ddeiliadaeth (Cymru)'!C$110/40)))</f>
        <v>15233.403328586033</v>
      </c>
      <c r="E14" s="57">
        <f>D14*(1+'Rhaniad y Ddeiliadaeth (Cymru)'!D$109)+(D$44*(-(50-$B14)*('Rhaniad y Ddeiliadaeth (Cymru)'!D$110/40)))</f>
        <v>15424.499668608523</v>
      </c>
      <c r="F14" s="57">
        <f>E14*(1+'Rhaniad y Ddeiliadaeth (Cymru)'!E$109)+(E$44*(-(50-$B14)*('Rhaniad y Ddeiliadaeth (Cymru)'!E$110/40)))</f>
        <v>15724.740091260108</v>
      </c>
      <c r="G14" s="57">
        <f>F14*(1+'Rhaniad y Ddeiliadaeth (Cymru)'!F$109)+(F$44*(-(50-$B14)*('Rhaniad y Ddeiliadaeth (Cymru)'!F$110/40)))</f>
        <v>16095.427314670167</v>
      </c>
      <c r="H14" s="58">
        <f>G14*(1+'Rhaniad y Ddeiliadaeth (Cymru)'!G$109)+(G$44*(-(50-$B14)*('Rhaniad y Ddeiliadaeth (Cymru)'!G$110/40)))</f>
        <v>16487.696956221807</v>
      </c>
      <c r="L14" s="62" t="str">
        <f t="shared" si="0"/>
        <v/>
      </c>
      <c r="M14" s="227"/>
      <c r="N14" s="14">
        <f t="shared" si="3"/>
        <v>1</v>
      </c>
      <c r="T14" s="1">
        <f t="shared" si="1"/>
        <v>20</v>
      </c>
      <c r="U14" s="4" t="str">
        <f t="shared" si="2"/>
        <v/>
      </c>
      <c r="V14" s="4" t="e">
        <f>IF($V$3=$M$3,M14,U14*(1+'Rhaniad y Ddeiliadaeth (Cymru)'!C$109)+(U$44*(-(50-$T14)*('Rhaniad y Ddeiliadaeth (Cymru)'!C$110/40))))</f>
        <v>#VALUE!</v>
      </c>
      <c r="W14" s="4" t="e">
        <f>V14*(1+'Rhaniad y Ddeiliadaeth (Cymru)'!D$109)+(V$44*(-(50-$T14)*('Rhaniad y Ddeiliadaeth (Cymru)'!D$110/40)))</f>
        <v>#VALUE!</v>
      </c>
      <c r="X14" s="4" t="e">
        <f>W14*(1+'Rhaniad y Ddeiliadaeth (Cymru)'!E$109)+(W$44*(-(50-$T14)*('Rhaniad y Ddeiliadaeth (Cymru)'!E$110/40)))</f>
        <v>#VALUE!</v>
      </c>
      <c r="Y14" s="4" t="e">
        <f>X14*(1+'Rhaniad y Ddeiliadaeth (Cymru)'!F$109)+(X$44*(-(50-$T14)*('Rhaniad y Ddeiliadaeth (Cymru)'!F$110/40)))</f>
        <v>#VALUE!</v>
      </c>
      <c r="Z14" s="4" t="e">
        <f>Y14*(1+'Rhaniad y Ddeiliadaeth (Cymru)'!G$109)+(Y$44*(-(50-$T14)*('Rhaniad y Ddeiliadaeth (Cymru)'!G$110/40)))</f>
        <v>#VALUE!</v>
      </c>
      <c r="AB14">
        <v>20</v>
      </c>
      <c r="AC14" s="4">
        <f>IF('Rhaniad y Ddeiliadaeth (Cymru)'!$D$8="Amcangyfrifon LlC",'Incwm (Cymru)'!D14,'Incwm (Cymru)'!V14)</f>
        <v>15233.403328586033</v>
      </c>
      <c r="AD14" s="4">
        <f>IF('Rhaniad y Ddeiliadaeth (Cymru)'!$D$8="Amcangyfrifon LlC",'Incwm (Cymru)'!E14,'Incwm (Cymru)'!W14)</f>
        <v>15424.499668608523</v>
      </c>
      <c r="AE14" s="4">
        <f>IF('Rhaniad y Ddeiliadaeth (Cymru)'!$D$8="Amcangyfrifon LlC",'Incwm (Cymru)'!F14,'Incwm (Cymru)'!X14)</f>
        <v>15724.740091260108</v>
      </c>
      <c r="AF14" s="4">
        <f>IF('Rhaniad y Ddeiliadaeth (Cymru)'!$D$8="Amcangyfrifon LlC",'Incwm (Cymru)'!G14,'Incwm (Cymru)'!Y14)</f>
        <v>16095.427314670167</v>
      </c>
      <c r="AG14" s="4">
        <f>IF('Rhaniad y Ddeiliadaeth (Cymru)'!$D$8="Amcangyfrifon LlC",'Incwm (Cymru)'!H14,'Incwm (Cymru)'!Z14)</f>
        <v>16487.696956221807</v>
      </c>
    </row>
    <row r="15" spans="2:33" x14ac:dyDescent="0.25">
      <c r="B15" s="20">
        <v>21</v>
      </c>
      <c r="C15" s="56">
        <v>14970.1</v>
      </c>
      <c r="D15" s="57">
        <f>C15*(1+'Rhaniad y Ddeiliadaeth (Cymru)'!C$109)+(C$44*(-(50-$B15)*('Rhaniad y Ddeiliadaeth (Cymru)'!C$110/40)))</f>
        <v>15312.440594208276</v>
      </c>
      <c r="E15" s="57">
        <f>D15*(1+'Rhaniad y Ddeiliadaeth (Cymru)'!D$109)+(D$44*(-(50-$B15)*('Rhaniad y Ddeiliadaeth (Cymru)'!D$110/40)))</f>
        <v>15512.254831924614</v>
      </c>
      <c r="F15" s="57">
        <f>E15*(1+'Rhaniad y Ddeiliadaeth (Cymru)'!E$109)+(E$44*(-(50-$B15)*('Rhaniad y Ddeiliadaeth (Cymru)'!E$110/40)))</f>
        <v>15822.231542150023</v>
      </c>
      <c r="G15" s="57">
        <f>F15*(1+'Rhaniad y Ddeiliadaeth (Cymru)'!F$109)+(F$44*(-(50-$B15)*('Rhaniad y Ddeiliadaeth (Cymru)'!F$110/40)))</f>
        <v>16203.616924773056</v>
      </c>
      <c r="H15" s="58">
        <f>G15*(1+'Rhaniad y Ddeiliadaeth (Cymru)'!G$109)+(G$44*(-(50-$B15)*('Rhaniad y Ddeiliadaeth (Cymru)'!G$110/40)))</f>
        <v>16607.349773505568</v>
      </c>
      <c r="L15" s="62" t="str">
        <f t="shared" si="0"/>
        <v/>
      </c>
      <c r="M15" s="227"/>
      <c r="N15" s="14">
        <f t="shared" si="3"/>
        <v>1</v>
      </c>
      <c r="T15" s="1">
        <f t="shared" si="1"/>
        <v>21</v>
      </c>
      <c r="U15" s="4" t="str">
        <f t="shared" si="2"/>
        <v/>
      </c>
      <c r="V15" s="4" t="e">
        <f>IF($V$3=$M$3,M15,U15*(1+'Rhaniad y Ddeiliadaeth (Cymru)'!C$109)+(U$44*(-(50-$T15)*('Rhaniad y Ddeiliadaeth (Cymru)'!C$110/40))))</f>
        <v>#VALUE!</v>
      </c>
      <c r="W15" s="4" t="e">
        <f>V15*(1+'Rhaniad y Ddeiliadaeth (Cymru)'!D$109)+(V$44*(-(50-$T15)*('Rhaniad y Ddeiliadaeth (Cymru)'!D$110/40)))</f>
        <v>#VALUE!</v>
      </c>
      <c r="X15" s="4" t="e">
        <f>W15*(1+'Rhaniad y Ddeiliadaeth (Cymru)'!E$109)+(W$44*(-(50-$T15)*('Rhaniad y Ddeiliadaeth (Cymru)'!E$110/40)))</f>
        <v>#VALUE!</v>
      </c>
      <c r="Y15" s="4" t="e">
        <f>X15*(1+'Rhaniad y Ddeiliadaeth (Cymru)'!F$109)+(X$44*(-(50-$T15)*('Rhaniad y Ddeiliadaeth (Cymru)'!F$110/40)))</f>
        <v>#VALUE!</v>
      </c>
      <c r="Z15" s="4" t="e">
        <f>Y15*(1+'Rhaniad y Ddeiliadaeth (Cymru)'!G$109)+(Y$44*(-(50-$T15)*('Rhaniad y Ddeiliadaeth (Cymru)'!G$110/40)))</f>
        <v>#VALUE!</v>
      </c>
      <c r="AB15">
        <v>21</v>
      </c>
      <c r="AC15" s="4">
        <f>IF('Rhaniad y Ddeiliadaeth (Cymru)'!$D$8="Amcangyfrifon LlC",'Incwm (Cymru)'!D15,'Incwm (Cymru)'!V15)</f>
        <v>15312.440594208276</v>
      </c>
      <c r="AD15" s="4">
        <f>IF('Rhaniad y Ddeiliadaeth (Cymru)'!$D$8="Amcangyfrifon LlC",'Incwm (Cymru)'!E15,'Incwm (Cymru)'!W15)</f>
        <v>15512.254831924614</v>
      </c>
      <c r="AE15" s="4">
        <f>IF('Rhaniad y Ddeiliadaeth (Cymru)'!$D$8="Amcangyfrifon LlC",'Incwm (Cymru)'!F15,'Incwm (Cymru)'!X15)</f>
        <v>15822.231542150023</v>
      </c>
      <c r="AF15" s="4">
        <f>IF('Rhaniad y Ddeiliadaeth (Cymru)'!$D$8="Amcangyfrifon LlC",'Incwm (Cymru)'!G15,'Incwm (Cymru)'!Y15)</f>
        <v>16203.616924773056</v>
      </c>
      <c r="AG15" s="4">
        <f>IF('Rhaniad y Ddeiliadaeth (Cymru)'!$D$8="Amcangyfrifon LlC",'Incwm (Cymru)'!H15,'Incwm (Cymru)'!Z15)</f>
        <v>16607.349773505568</v>
      </c>
    </row>
    <row r="16" spans="2:33" x14ac:dyDescent="0.25">
      <c r="B16" s="20">
        <v>22</v>
      </c>
      <c r="C16" s="56">
        <v>15070.1</v>
      </c>
      <c r="D16" s="57">
        <f>C16*(1+'Rhaniad y Ddeiliadaeth (Cymru)'!C$109)+(C$44*(-(50-$B16)*('Rhaniad y Ddeiliadaeth (Cymru)'!C$110/40)))</f>
        <v>15422.435642973953</v>
      </c>
      <c r="E16" s="57">
        <f>D16*(1+'Rhaniad y Ddeiliadaeth (Cymru)'!D$109)+(D$44*(-(50-$B16)*('Rhaniad y Ddeiliadaeth (Cymru)'!D$110/40)))</f>
        <v>15631.763739967275</v>
      </c>
      <c r="F16" s="57">
        <f>E16*(1+'Rhaniad y Ddeiliadaeth (Cymru)'!E$109)+(E$44*(-(50-$B16)*('Rhaniad y Ddeiliadaeth (Cymru)'!E$110/40)))</f>
        <v>15952.518356221544</v>
      </c>
      <c r="G16" s="57">
        <f>F16*(1+'Rhaniad y Ddeiliadaeth (Cymru)'!F$109)+(F$44*(-(50-$B16)*('Rhaniad y Ddeiliadaeth (Cymru)'!F$110/40)))</f>
        <v>16345.818142061196</v>
      </c>
      <c r="H16" s="58">
        <f>G16*(1+'Rhaniad y Ddeiliadaeth (Cymru)'!G$109)+(G$44*(-(50-$B16)*('Rhaniad y Ddeiliadaeth (Cymru)'!G$110/40)))</f>
        <v>16762.308755354083</v>
      </c>
      <c r="L16" s="62" t="str">
        <f t="shared" si="0"/>
        <v/>
      </c>
      <c r="M16" s="227"/>
      <c r="N16" s="14">
        <f t="shared" si="3"/>
        <v>1</v>
      </c>
      <c r="T16" s="1">
        <f t="shared" si="1"/>
        <v>22</v>
      </c>
      <c r="U16" s="4" t="str">
        <f t="shared" si="2"/>
        <v/>
      </c>
      <c r="V16" s="4" t="e">
        <f>IF($V$3=$M$3,M16,U16*(1+'Rhaniad y Ddeiliadaeth (Cymru)'!C$109)+(U$44*(-(50-$T16)*('Rhaniad y Ddeiliadaeth (Cymru)'!C$110/40))))</f>
        <v>#VALUE!</v>
      </c>
      <c r="W16" s="4" t="e">
        <f>V16*(1+'Rhaniad y Ddeiliadaeth (Cymru)'!D$109)+(V$44*(-(50-$T16)*('Rhaniad y Ddeiliadaeth (Cymru)'!D$110/40)))</f>
        <v>#VALUE!</v>
      </c>
      <c r="X16" s="4" t="e">
        <f>W16*(1+'Rhaniad y Ddeiliadaeth (Cymru)'!E$109)+(W$44*(-(50-$T16)*('Rhaniad y Ddeiliadaeth (Cymru)'!E$110/40)))</f>
        <v>#VALUE!</v>
      </c>
      <c r="Y16" s="4" t="e">
        <f>X16*(1+'Rhaniad y Ddeiliadaeth (Cymru)'!F$109)+(X$44*(-(50-$T16)*('Rhaniad y Ddeiliadaeth (Cymru)'!F$110/40)))</f>
        <v>#VALUE!</v>
      </c>
      <c r="Z16" s="4" t="e">
        <f>Y16*(1+'Rhaniad y Ddeiliadaeth (Cymru)'!G$109)+(Y$44*(-(50-$T16)*('Rhaniad y Ddeiliadaeth (Cymru)'!G$110/40)))</f>
        <v>#VALUE!</v>
      </c>
      <c r="AB16">
        <v>22</v>
      </c>
      <c r="AC16" s="4">
        <f>IF('Rhaniad y Ddeiliadaeth (Cymru)'!$D$8="Amcangyfrifon LlC",'Incwm (Cymru)'!D16,'Incwm (Cymru)'!V16)</f>
        <v>15422.435642973953</v>
      </c>
      <c r="AD16" s="4">
        <f>IF('Rhaniad y Ddeiliadaeth (Cymru)'!$D$8="Amcangyfrifon LlC",'Incwm (Cymru)'!E16,'Incwm (Cymru)'!W16)</f>
        <v>15631.763739967275</v>
      </c>
      <c r="AE16" s="4">
        <f>IF('Rhaniad y Ddeiliadaeth (Cymru)'!$D$8="Amcangyfrifon LlC",'Incwm (Cymru)'!F16,'Incwm (Cymru)'!X16)</f>
        <v>15952.518356221544</v>
      </c>
      <c r="AF16" s="4">
        <f>IF('Rhaniad y Ddeiliadaeth (Cymru)'!$D$8="Amcangyfrifon LlC",'Incwm (Cymru)'!G16,'Incwm (Cymru)'!Y16)</f>
        <v>16345.818142061196</v>
      </c>
      <c r="AG16" s="4">
        <f>IF('Rhaniad y Ddeiliadaeth (Cymru)'!$D$8="Amcangyfrifon LlC",'Incwm (Cymru)'!H16,'Incwm (Cymru)'!Z16)</f>
        <v>16762.308755354083</v>
      </c>
    </row>
    <row r="17" spans="2:33" x14ac:dyDescent="0.25">
      <c r="B17" s="20">
        <v>23</v>
      </c>
      <c r="C17" s="56">
        <v>15280</v>
      </c>
      <c r="D17" s="57">
        <f>C17*(1+'Rhaniad y Ddeiliadaeth (Cymru)'!C$109)+(C$44*(-(50-$B17)*('Rhaniad y Ddeiliadaeth (Cymru)'!C$110/40)))</f>
        <v>15646.21866389561</v>
      </c>
      <c r="E17" s="57">
        <f>D17*(1+'Rhaniad y Ddeiliadaeth (Cymru)'!D$109)+(D$44*(-(50-$B17)*('Rhaniad y Ddeiliadaeth (Cymru)'!D$110/40)))</f>
        <v>15867.98624484774</v>
      </c>
      <c r="F17" s="57">
        <f>E17*(1+'Rhaniad y Ddeiliadaeth (Cymru)'!E$109)+(E$44*(-(50-$B17)*('Rhaniad y Ddeiliadaeth (Cymru)'!E$110/40)))</f>
        <v>16203.347324596041</v>
      </c>
      <c r="G17" s="57">
        <f>F17*(1+'Rhaniad y Ddeiliadaeth (Cymru)'!F$109)+(F$44*(-(50-$B17)*('Rhaniad y Ddeiliadaeth (Cymru)'!F$110/40)))</f>
        <v>16613.03192221421</v>
      </c>
      <c r="H17" s="58">
        <f>G17*(1+'Rhaniad y Ddeiliadaeth (Cymru)'!G$109)+(G$44*(-(50-$B17)*('Rhaniad y Ddeiliadaeth (Cymru)'!G$110/40)))</f>
        <v>17047.038556121221</v>
      </c>
      <c r="L17" s="62" t="str">
        <f t="shared" si="0"/>
        <v/>
      </c>
      <c r="M17" s="227"/>
      <c r="N17" s="14">
        <f t="shared" si="3"/>
        <v>1</v>
      </c>
      <c r="T17" s="1">
        <f t="shared" si="1"/>
        <v>23</v>
      </c>
      <c r="U17" s="4" t="str">
        <f t="shared" si="2"/>
        <v/>
      </c>
      <c r="V17" s="4" t="e">
        <f>IF($V$3=$M$3,M17,U17*(1+'Rhaniad y Ddeiliadaeth (Cymru)'!C$109)+(U$44*(-(50-$T17)*('Rhaniad y Ddeiliadaeth (Cymru)'!C$110/40))))</f>
        <v>#VALUE!</v>
      </c>
      <c r="W17" s="4" t="e">
        <f>V17*(1+'Rhaniad y Ddeiliadaeth (Cymru)'!D$109)+(V$44*(-(50-$T17)*('Rhaniad y Ddeiliadaeth (Cymru)'!D$110/40)))</f>
        <v>#VALUE!</v>
      </c>
      <c r="X17" s="4" t="e">
        <f>W17*(1+'Rhaniad y Ddeiliadaeth (Cymru)'!E$109)+(W$44*(-(50-$T17)*('Rhaniad y Ddeiliadaeth (Cymru)'!E$110/40)))</f>
        <v>#VALUE!</v>
      </c>
      <c r="Y17" s="4" t="e">
        <f>X17*(1+'Rhaniad y Ddeiliadaeth (Cymru)'!F$109)+(X$44*(-(50-$T17)*('Rhaniad y Ddeiliadaeth (Cymru)'!F$110/40)))</f>
        <v>#VALUE!</v>
      </c>
      <c r="Z17" s="4" t="e">
        <f>Y17*(1+'Rhaniad y Ddeiliadaeth (Cymru)'!G$109)+(Y$44*(-(50-$T17)*('Rhaniad y Ddeiliadaeth (Cymru)'!G$110/40)))</f>
        <v>#VALUE!</v>
      </c>
      <c r="AB17">
        <v>23</v>
      </c>
      <c r="AC17" s="4">
        <f>IF('Rhaniad y Ddeiliadaeth (Cymru)'!$D$8="Amcangyfrifon LlC",'Incwm (Cymru)'!D17,'Incwm (Cymru)'!V17)</f>
        <v>15646.21866389561</v>
      </c>
      <c r="AD17" s="4">
        <f>IF('Rhaniad y Ddeiliadaeth (Cymru)'!$D$8="Amcangyfrifon LlC",'Incwm (Cymru)'!E17,'Incwm (Cymru)'!W17)</f>
        <v>15867.98624484774</v>
      </c>
      <c r="AE17" s="4">
        <f>IF('Rhaniad y Ddeiliadaeth (Cymru)'!$D$8="Amcangyfrifon LlC",'Incwm (Cymru)'!F17,'Incwm (Cymru)'!X17)</f>
        <v>16203.347324596041</v>
      </c>
      <c r="AF17" s="4">
        <f>IF('Rhaniad y Ddeiliadaeth (Cymru)'!$D$8="Amcangyfrifon LlC",'Incwm (Cymru)'!G17,'Incwm (Cymru)'!Y17)</f>
        <v>16613.03192221421</v>
      </c>
      <c r="AG17" s="4">
        <f>IF('Rhaniad y Ddeiliadaeth (Cymru)'!$D$8="Amcangyfrifon LlC",'Incwm (Cymru)'!H17,'Incwm (Cymru)'!Z17)</f>
        <v>17047.038556121221</v>
      </c>
    </row>
    <row r="18" spans="2:33" x14ac:dyDescent="0.25">
      <c r="B18" s="20">
        <v>24</v>
      </c>
      <c r="C18" s="56">
        <v>15600</v>
      </c>
      <c r="D18" s="57">
        <f>C18*(1+'Rhaniad y Ddeiliadaeth (Cymru)'!C$109)+(C$44*(-(50-$B18)*('Rhaniad y Ddeiliadaeth (Cymru)'!C$110/40)))</f>
        <v>15983.996732445781</v>
      </c>
      <c r="E18" s="57">
        <f>D18*(1+'Rhaniad y Ddeiliadaeth (Cymru)'!D$109)+(D$44*(-(50-$B18)*('Rhaniad y Ddeiliadaeth (Cymru)'!D$110/40)))</f>
        <v>16221.134746196294</v>
      </c>
      <c r="F18" s="57">
        <f>E18*(1+'Rhaniad y Ddeiliadaeth (Cymru)'!E$109)+(E$44*(-(50-$B18)*('Rhaniad y Ddeiliadaeth (Cymru)'!E$110/40)))</f>
        <v>16574.937814251327</v>
      </c>
      <c r="G18" s="57">
        <f>F18*(1+'Rhaniad y Ddeiliadaeth (Cymru)'!F$109)+(F$44*(-(50-$B18)*('Rhaniad y Ddeiliadaeth (Cymru)'!F$110/40)))</f>
        <v>17005.485767621303</v>
      </c>
      <c r="H18" s="58">
        <f>G18*(1+'Rhaniad y Ddeiliadaeth (Cymru)'!G$109)+(G$44*(-(50-$B18)*('Rhaniad y Ddeiliadaeth (Cymru)'!G$110/40)))</f>
        <v>17461.775337442872</v>
      </c>
      <c r="L18" s="62" t="str">
        <f t="shared" si="0"/>
        <v/>
      </c>
      <c r="M18" s="227"/>
      <c r="N18" s="14">
        <f t="shared" si="3"/>
        <v>1</v>
      </c>
      <c r="T18" s="1">
        <f t="shared" si="1"/>
        <v>24</v>
      </c>
      <c r="U18" s="4" t="str">
        <f t="shared" si="2"/>
        <v/>
      </c>
      <c r="V18" s="4" t="e">
        <f>IF($V$3=$M$3,M18,U18*(1+'Rhaniad y Ddeiliadaeth (Cymru)'!C$109)+(U$44*(-(50-$T18)*('Rhaniad y Ddeiliadaeth (Cymru)'!C$110/40))))</f>
        <v>#VALUE!</v>
      </c>
      <c r="W18" s="4" t="e">
        <f>V18*(1+'Rhaniad y Ddeiliadaeth (Cymru)'!D$109)+(V$44*(-(50-$T18)*('Rhaniad y Ddeiliadaeth (Cymru)'!D$110/40)))</f>
        <v>#VALUE!</v>
      </c>
      <c r="X18" s="4" t="e">
        <f>W18*(1+'Rhaniad y Ddeiliadaeth (Cymru)'!E$109)+(W$44*(-(50-$T18)*('Rhaniad y Ddeiliadaeth (Cymru)'!E$110/40)))</f>
        <v>#VALUE!</v>
      </c>
      <c r="Y18" s="4" t="e">
        <f>X18*(1+'Rhaniad y Ddeiliadaeth (Cymru)'!F$109)+(X$44*(-(50-$T18)*('Rhaniad y Ddeiliadaeth (Cymru)'!F$110/40)))</f>
        <v>#VALUE!</v>
      </c>
      <c r="Z18" s="4" t="e">
        <f>Y18*(1+'Rhaniad y Ddeiliadaeth (Cymru)'!G$109)+(Y$44*(-(50-$T18)*('Rhaniad y Ddeiliadaeth (Cymru)'!G$110/40)))</f>
        <v>#VALUE!</v>
      </c>
      <c r="AB18">
        <v>24</v>
      </c>
      <c r="AC18" s="4">
        <f>IF('Rhaniad y Ddeiliadaeth (Cymru)'!$D$8="Amcangyfrifon LlC",'Incwm (Cymru)'!D18,'Incwm (Cymru)'!V18)</f>
        <v>15983.996732445781</v>
      </c>
      <c r="AD18" s="4">
        <f>IF('Rhaniad y Ddeiliadaeth (Cymru)'!$D$8="Amcangyfrifon LlC",'Incwm (Cymru)'!E18,'Incwm (Cymru)'!W18)</f>
        <v>16221.134746196294</v>
      </c>
      <c r="AE18" s="4">
        <f>IF('Rhaniad y Ddeiliadaeth (Cymru)'!$D$8="Amcangyfrifon LlC",'Incwm (Cymru)'!F18,'Incwm (Cymru)'!X18)</f>
        <v>16574.937814251327</v>
      </c>
      <c r="AF18" s="4">
        <f>IF('Rhaniad y Ddeiliadaeth (Cymru)'!$D$8="Amcangyfrifon LlC",'Incwm (Cymru)'!G18,'Incwm (Cymru)'!Y18)</f>
        <v>17005.485767621303</v>
      </c>
      <c r="AG18" s="4">
        <f>IF('Rhaniad y Ddeiliadaeth (Cymru)'!$D$8="Amcangyfrifon LlC",'Incwm (Cymru)'!H18,'Incwm (Cymru)'!Z18)</f>
        <v>17461.775337442872</v>
      </c>
    </row>
    <row r="19" spans="2:33" x14ac:dyDescent="0.25">
      <c r="B19" s="20">
        <v>25</v>
      </c>
      <c r="C19" s="56">
        <v>15838</v>
      </c>
      <c r="D19" s="57">
        <f>C19*(1+'Rhaniad y Ddeiliadaeth (Cymru)'!C$109)+(C$44*(-(50-$B19)*('Rhaniad y Ddeiliadaeth (Cymru)'!C$110/40)))</f>
        <v>16236.873857258095</v>
      </c>
      <c r="E19" s="57">
        <f>D19*(1+'Rhaniad y Ddeiliadaeth (Cymru)'!D$109)+(D$44*(-(50-$B19)*('Rhaniad y Ddeiliadaeth (Cymru)'!D$110/40)))</f>
        <v>16487.19939913083</v>
      </c>
      <c r="F19" s="57">
        <f>E19*(1+'Rhaniad y Ddeiliadaeth (Cymru)'!E$109)+(E$44*(-(50-$B19)*('Rhaniad y Ddeiliadaeth (Cymru)'!E$110/40)))</f>
        <v>16856.587843007204</v>
      </c>
      <c r="G19" s="57">
        <f>F19*(1+'Rhaniad y Ddeiliadaeth (Cymru)'!F$109)+(F$44*(-(50-$B19)*('Rhaniad y Ddeiliadaeth (Cymru)'!F$110/40)))</f>
        <v>17304.663633456781</v>
      </c>
      <c r="H19" s="58">
        <f>G19*(1+'Rhaniad y Ddeiliadaeth (Cymru)'!G$109)+(G$44*(-(50-$B19)*('Rhaniad y Ddeiliadaeth (Cymru)'!G$110/40)))</f>
        <v>17779.685848051802</v>
      </c>
      <c r="L19" s="62" t="str">
        <f t="shared" si="0"/>
        <v/>
      </c>
      <c r="M19" s="227"/>
      <c r="N19" s="14">
        <f t="shared" si="3"/>
        <v>1</v>
      </c>
      <c r="T19" s="1">
        <f t="shared" si="1"/>
        <v>25</v>
      </c>
      <c r="U19" s="4" t="str">
        <f t="shared" si="2"/>
        <v/>
      </c>
      <c r="V19" s="4" t="e">
        <f>IF($V$3=$M$3,M19,U19*(1+'Rhaniad y Ddeiliadaeth (Cymru)'!C$109)+(U$44*(-(50-$T19)*('Rhaniad y Ddeiliadaeth (Cymru)'!C$110/40))))</f>
        <v>#VALUE!</v>
      </c>
      <c r="W19" s="4" t="e">
        <f>V19*(1+'Rhaniad y Ddeiliadaeth (Cymru)'!D$109)+(V$44*(-(50-$T19)*('Rhaniad y Ddeiliadaeth (Cymru)'!D$110/40)))</f>
        <v>#VALUE!</v>
      </c>
      <c r="X19" s="4" t="e">
        <f>W19*(1+'Rhaniad y Ddeiliadaeth (Cymru)'!E$109)+(W$44*(-(50-$T19)*('Rhaniad y Ddeiliadaeth (Cymru)'!E$110/40)))</f>
        <v>#VALUE!</v>
      </c>
      <c r="Y19" s="4" t="e">
        <f>X19*(1+'Rhaniad y Ddeiliadaeth (Cymru)'!F$109)+(X$44*(-(50-$T19)*('Rhaniad y Ddeiliadaeth (Cymru)'!F$110/40)))</f>
        <v>#VALUE!</v>
      </c>
      <c r="Z19" s="4" t="e">
        <f>Y19*(1+'Rhaniad y Ddeiliadaeth (Cymru)'!G$109)+(Y$44*(-(50-$T19)*('Rhaniad y Ddeiliadaeth (Cymru)'!G$110/40)))</f>
        <v>#VALUE!</v>
      </c>
      <c r="AB19">
        <v>25</v>
      </c>
      <c r="AC19" s="4">
        <f>IF('Rhaniad y Ddeiliadaeth (Cymru)'!$D$8="Amcangyfrifon LlC",'Incwm (Cymru)'!D19,'Incwm (Cymru)'!V19)</f>
        <v>16236.873857258095</v>
      </c>
      <c r="AD19" s="4">
        <f>IF('Rhaniad y Ddeiliadaeth (Cymru)'!$D$8="Amcangyfrifon LlC",'Incwm (Cymru)'!E19,'Incwm (Cymru)'!W19)</f>
        <v>16487.19939913083</v>
      </c>
      <c r="AE19" s="4">
        <f>IF('Rhaniad y Ddeiliadaeth (Cymru)'!$D$8="Amcangyfrifon LlC",'Incwm (Cymru)'!F19,'Incwm (Cymru)'!X19)</f>
        <v>16856.587843007204</v>
      </c>
      <c r="AF19" s="4">
        <f>IF('Rhaniad y Ddeiliadaeth (Cymru)'!$D$8="Amcangyfrifon LlC",'Incwm (Cymru)'!G19,'Incwm (Cymru)'!Y19)</f>
        <v>17304.663633456781</v>
      </c>
      <c r="AG19" s="4">
        <f>IF('Rhaniad y Ddeiliadaeth (Cymru)'!$D$8="Amcangyfrifon LlC",'Incwm (Cymru)'!H19,'Incwm (Cymru)'!Z19)</f>
        <v>17779.685848051802</v>
      </c>
    </row>
    <row r="20" spans="2:33" x14ac:dyDescent="0.25">
      <c r="B20" s="20">
        <v>26</v>
      </c>
      <c r="C20" s="56">
        <v>16122.6</v>
      </c>
      <c r="D20" s="57">
        <f>C20*(1+'Rhaniad y Ddeiliadaeth (Cymru)'!C$109)+(C$44*(-(50-$B20)*('Rhaniad y Ddeiliadaeth (Cymru)'!C$110/40)))</f>
        <v>16537.999567170213</v>
      </c>
      <c r="E20" s="57">
        <f>D20*(1+'Rhaniad y Ddeiliadaeth (Cymru)'!D$109)+(D$44*(-(50-$B20)*('Rhaniad y Ddeiliadaeth (Cymru)'!D$110/40)))</f>
        <v>16802.75316592016</v>
      </c>
      <c r="F20" s="57">
        <f>E20*(1+'Rhaniad y Ddeiliadaeth (Cymru)'!E$109)+(E$44*(-(50-$B20)*('Rhaniad y Ddeiliadaeth (Cymru)'!E$110/40)))</f>
        <v>17189.35037759128</v>
      </c>
      <c r="G20" s="57">
        <f>F20*(1+'Rhaniad y Ddeiliadaeth (Cymru)'!F$109)+(F$44*(-(50-$B20)*('Rhaniad y Ddeiliadaeth (Cymru)'!F$110/40)))</f>
        <v>17656.849555975641</v>
      </c>
      <c r="H20" s="58">
        <f>G20*(1+'Rhaniad y Ddeiliadaeth (Cymru)'!G$109)+(G$44*(-(50-$B20)*('Rhaniad y Ddeiliadaeth (Cymru)'!G$110/40)))</f>
        <v>18152.622019821862</v>
      </c>
      <c r="L20" s="62" t="str">
        <f t="shared" si="0"/>
        <v/>
      </c>
      <c r="M20" s="227"/>
      <c r="N20" s="14">
        <f t="shared" si="3"/>
        <v>1</v>
      </c>
      <c r="T20" s="1">
        <f t="shared" si="1"/>
        <v>26</v>
      </c>
      <c r="U20" s="4" t="str">
        <f t="shared" si="2"/>
        <v/>
      </c>
      <c r="V20" s="4" t="e">
        <f>IF($V$3=$M$3,M20,U20*(1+'Rhaniad y Ddeiliadaeth (Cymru)'!C$109)+(U$44*(-(50-$T20)*('Rhaniad y Ddeiliadaeth (Cymru)'!C$110/40))))</f>
        <v>#VALUE!</v>
      </c>
      <c r="W20" s="4" t="e">
        <f>V20*(1+'Rhaniad y Ddeiliadaeth (Cymru)'!D$109)+(V$44*(-(50-$T20)*('Rhaniad y Ddeiliadaeth (Cymru)'!D$110/40)))</f>
        <v>#VALUE!</v>
      </c>
      <c r="X20" s="4" t="e">
        <f>W20*(1+'Rhaniad y Ddeiliadaeth (Cymru)'!E$109)+(W$44*(-(50-$T20)*('Rhaniad y Ddeiliadaeth (Cymru)'!E$110/40)))</f>
        <v>#VALUE!</v>
      </c>
      <c r="Y20" s="4" t="e">
        <f>X20*(1+'Rhaniad y Ddeiliadaeth (Cymru)'!F$109)+(X$44*(-(50-$T20)*('Rhaniad y Ddeiliadaeth (Cymru)'!F$110/40)))</f>
        <v>#VALUE!</v>
      </c>
      <c r="Z20" s="4" t="e">
        <f>Y20*(1+'Rhaniad y Ddeiliadaeth (Cymru)'!G$109)+(Y$44*(-(50-$T20)*('Rhaniad y Ddeiliadaeth (Cymru)'!G$110/40)))</f>
        <v>#VALUE!</v>
      </c>
      <c r="AB20">
        <v>26</v>
      </c>
      <c r="AC20" s="4">
        <f>IF('Rhaniad y Ddeiliadaeth (Cymru)'!$D$8="Amcangyfrifon LlC",'Incwm (Cymru)'!D20,'Incwm (Cymru)'!V20)</f>
        <v>16537.999567170213</v>
      </c>
      <c r="AD20" s="4">
        <f>IF('Rhaniad y Ddeiliadaeth (Cymru)'!$D$8="Amcangyfrifon LlC",'Incwm (Cymru)'!E20,'Incwm (Cymru)'!W20)</f>
        <v>16802.75316592016</v>
      </c>
      <c r="AE20" s="4">
        <f>IF('Rhaniad y Ddeiliadaeth (Cymru)'!$D$8="Amcangyfrifon LlC",'Incwm (Cymru)'!F20,'Incwm (Cymru)'!X20)</f>
        <v>17189.35037759128</v>
      </c>
      <c r="AF20" s="4">
        <f>IF('Rhaniad y Ddeiliadaeth (Cymru)'!$D$8="Amcangyfrifon LlC",'Incwm (Cymru)'!G20,'Incwm (Cymru)'!Y20)</f>
        <v>17656.849555975641</v>
      </c>
      <c r="AG20" s="4">
        <f>IF('Rhaniad y Ddeiliadaeth (Cymru)'!$D$8="Amcangyfrifon LlC",'Incwm (Cymru)'!H20,'Incwm (Cymru)'!Z20)</f>
        <v>18152.622019821862</v>
      </c>
    </row>
    <row r="21" spans="2:33" x14ac:dyDescent="0.25">
      <c r="B21" s="20">
        <v>27</v>
      </c>
      <c r="C21" s="56">
        <v>16424</v>
      </c>
      <c r="D21" s="57">
        <f>C21*(1+'Rhaniad y Ddeiliadaeth (Cymru)'!C$109)+(C$44*(-(50-$B21)*('Rhaniad y Ddeiliadaeth (Cymru)'!C$110/40)))</f>
        <v>16856.519616774967</v>
      </c>
      <c r="E21" s="57">
        <f>D21*(1+'Rhaniad y Ddeiliadaeth (Cymru)'!D$109)+(D$44*(-(50-$B21)*('Rhaniad y Ddeiliadaeth (Cymru)'!D$110/40)))</f>
        <v>17136.14850165285</v>
      </c>
      <c r="F21" s="57">
        <f>E21*(1+'Rhaniad y Ddeiliadaeth (Cymru)'!E$109)+(E$44*(-(50-$B21)*('Rhaniad y Ddeiliadaeth (Cymru)'!E$110/40)))</f>
        <v>17540.539738310843</v>
      </c>
      <c r="G21" s="57">
        <f>F21*(1+'Rhaniad y Ddeiliadaeth (Cymru)'!F$109)+(F$44*(-(50-$B21)*('Rhaniad y Ddeiliadaeth (Cymru)'!F$110/40)))</f>
        <v>18028.145679187219</v>
      </c>
      <c r="H21" s="58">
        <f>G21*(1+'Rhaniad y Ddeiliadaeth (Cymru)'!G$109)+(G$44*(-(50-$B21)*('Rhaniad y Ddeiliadaeth (Cymru)'!G$110/40)))</f>
        <v>18545.395769006234</v>
      </c>
      <c r="L21" s="62" t="str">
        <f t="shared" si="0"/>
        <v/>
      </c>
      <c r="M21" s="227"/>
      <c r="N21" s="14">
        <f t="shared" si="3"/>
        <v>1</v>
      </c>
      <c r="T21" s="1">
        <f t="shared" si="1"/>
        <v>27</v>
      </c>
      <c r="U21" s="4" t="str">
        <f t="shared" si="2"/>
        <v/>
      </c>
      <c r="V21" s="4" t="e">
        <f>IF($V$3=$M$3,M21,U21*(1+'Rhaniad y Ddeiliadaeth (Cymru)'!C$109)+(U$44*(-(50-$T21)*('Rhaniad y Ddeiliadaeth (Cymru)'!C$110/40))))</f>
        <v>#VALUE!</v>
      </c>
      <c r="W21" s="4" t="e">
        <f>V21*(1+'Rhaniad y Ddeiliadaeth (Cymru)'!D$109)+(V$44*(-(50-$T21)*('Rhaniad y Ddeiliadaeth (Cymru)'!D$110/40)))</f>
        <v>#VALUE!</v>
      </c>
      <c r="X21" s="4" t="e">
        <f>W21*(1+'Rhaniad y Ddeiliadaeth (Cymru)'!E$109)+(W$44*(-(50-$T21)*('Rhaniad y Ddeiliadaeth (Cymru)'!E$110/40)))</f>
        <v>#VALUE!</v>
      </c>
      <c r="Y21" s="4" t="e">
        <f>X21*(1+'Rhaniad y Ddeiliadaeth (Cymru)'!F$109)+(X$44*(-(50-$T21)*('Rhaniad y Ddeiliadaeth (Cymru)'!F$110/40)))</f>
        <v>#VALUE!</v>
      </c>
      <c r="Z21" s="4" t="e">
        <f>Y21*(1+'Rhaniad y Ddeiliadaeth (Cymru)'!G$109)+(Y$44*(-(50-$T21)*('Rhaniad y Ddeiliadaeth (Cymru)'!G$110/40)))</f>
        <v>#VALUE!</v>
      </c>
      <c r="AB21">
        <v>27</v>
      </c>
      <c r="AC21" s="4">
        <f>IF('Rhaniad y Ddeiliadaeth (Cymru)'!$D$8="Amcangyfrifon LlC",'Incwm (Cymru)'!D21,'Incwm (Cymru)'!V21)</f>
        <v>16856.519616774967</v>
      </c>
      <c r="AD21" s="4">
        <f>IF('Rhaniad y Ddeiliadaeth (Cymru)'!$D$8="Amcangyfrifon LlC",'Incwm (Cymru)'!E21,'Incwm (Cymru)'!W21)</f>
        <v>17136.14850165285</v>
      </c>
      <c r="AE21" s="4">
        <f>IF('Rhaniad y Ddeiliadaeth (Cymru)'!$D$8="Amcangyfrifon LlC",'Incwm (Cymru)'!F21,'Incwm (Cymru)'!X21)</f>
        <v>17540.539738310843</v>
      </c>
      <c r="AF21" s="4">
        <f>IF('Rhaniad y Ddeiliadaeth (Cymru)'!$D$8="Amcangyfrifon LlC",'Incwm (Cymru)'!G21,'Incwm (Cymru)'!Y21)</f>
        <v>18028.145679187219</v>
      </c>
      <c r="AG21" s="4">
        <f>IF('Rhaniad y Ddeiliadaeth (Cymru)'!$D$8="Amcangyfrifon LlC",'Incwm (Cymru)'!H21,'Incwm (Cymru)'!Z21)</f>
        <v>18545.395769006234</v>
      </c>
    </row>
    <row r="22" spans="2:33" x14ac:dyDescent="0.25">
      <c r="B22" s="20">
        <v>28</v>
      </c>
      <c r="C22" s="56">
        <v>16703.599999999999</v>
      </c>
      <c r="D22" s="57">
        <f>C22*(1+'Rhaniad y Ddeiliadaeth (Cymru)'!C$109)+(C$44*(-(50-$B22)*('Rhaniad y Ddeiliadaeth (Cymru)'!C$110/40)))</f>
        <v>17152.468439873803</v>
      </c>
      <c r="E22" s="57">
        <f>D22*(1+'Rhaniad y Ddeiliadaeth (Cymru)'!D$109)+(D$44*(-(50-$B22)*('Rhaniad y Ddeiliadaeth (Cymru)'!D$110/40)))</f>
        <v>17446.392277685227</v>
      </c>
      <c r="F22" s="57">
        <f>E22*(1+'Rhaniad y Ddeiliadaeth (Cymru)'!E$109)+(E$44*(-(50-$B22)*('Rhaniad y Ddeiliadaeth (Cymru)'!E$110/40)))</f>
        <v>17867.818098449832</v>
      </c>
      <c r="G22" s="57">
        <f>F22*(1+'Rhaniad y Ddeiliadaeth (Cymru)'!F$109)+(F$44*(-(50-$B22)*('Rhaniad y Ddeiliadaeth (Cymru)'!F$110/40)))</f>
        <v>18374.644041976102</v>
      </c>
      <c r="H22" s="58">
        <f>G22*(1+'Rhaniad y Ddeiliadaeth (Cymru)'!G$109)+(G$44*(-(50-$B22)*('Rhaniad y Ddeiliadaeth (Cymru)'!G$110/40)))</f>
        <v>18912.427899879178</v>
      </c>
      <c r="L22" s="62" t="str">
        <f t="shared" si="0"/>
        <v/>
      </c>
      <c r="M22" s="227"/>
      <c r="N22" s="14">
        <f t="shared" si="3"/>
        <v>1</v>
      </c>
      <c r="T22" s="1">
        <f t="shared" si="1"/>
        <v>28</v>
      </c>
      <c r="U22" s="4" t="str">
        <f t="shared" si="2"/>
        <v/>
      </c>
      <c r="V22" s="4" t="e">
        <f>IF($V$3=$M$3,M22,U22*(1+'Rhaniad y Ddeiliadaeth (Cymru)'!C$109)+(U$44*(-(50-$T22)*('Rhaniad y Ddeiliadaeth (Cymru)'!C$110/40))))</f>
        <v>#VALUE!</v>
      </c>
      <c r="W22" s="4" t="e">
        <f>V22*(1+'Rhaniad y Ddeiliadaeth (Cymru)'!D$109)+(V$44*(-(50-$T22)*('Rhaniad y Ddeiliadaeth (Cymru)'!D$110/40)))</f>
        <v>#VALUE!</v>
      </c>
      <c r="X22" s="4" t="e">
        <f>W22*(1+'Rhaniad y Ddeiliadaeth (Cymru)'!E$109)+(W$44*(-(50-$T22)*('Rhaniad y Ddeiliadaeth (Cymru)'!E$110/40)))</f>
        <v>#VALUE!</v>
      </c>
      <c r="Y22" s="4" t="e">
        <f>X22*(1+'Rhaniad y Ddeiliadaeth (Cymru)'!F$109)+(X$44*(-(50-$T22)*('Rhaniad y Ddeiliadaeth (Cymru)'!F$110/40)))</f>
        <v>#VALUE!</v>
      </c>
      <c r="Z22" s="4" t="e">
        <f>Y22*(1+'Rhaniad y Ddeiliadaeth (Cymru)'!G$109)+(Y$44*(-(50-$T22)*('Rhaniad y Ddeiliadaeth (Cymru)'!G$110/40)))</f>
        <v>#VALUE!</v>
      </c>
      <c r="AB22">
        <v>28</v>
      </c>
      <c r="AC22" s="4">
        <f>IF('Rhaniad y Ddeiliadaeth (Cymru)'!$D$8="Amcangyfrifon LlC",'Incwm (Cymru)'!D22,'Incwm (Cymru)'!V22)</f>
        <v>17152.468439873803</v>
      </c>
      <c r="AD22" s="4">
        <f>IF('Rhaniad y Ddeiliadaeth (Cymru)'!$D$8="Amcangyfrifon LlC",'Incwm (Cymru)'!E22,'Incwm (Cymru)'!W22)</f>
        <v>17446.392277685227</v>
      </c>
      <c r="AE22" s="4">
        <f>IF('Rhaniad y Ddeiliadaeth (Cymru)'!$D$8="Amcangyfrifon LlC",'Incwm (Cymru)'!F22,'Incwm (Cymru)'!X22)</f>
        <v>17867.818098449832</v>
      </c>
      <c r="AF22" s="4">
        <f>IF('Rhaniad y Ddeiliadaeth (Cymru)'!$D$8="Amcangyfrifon LlC",'Incwm (Cymru)'!G22,'Incwm (Cymru)'!Y22)</f>
        <v>18374.644041976102</v>
      </c>
      <c r="AG22" s="4">
        <f>IF('Rhaniad y Ddeiliadaeth (Cymru)'!$D$8="Amcangyfrifon LlC",'Incwm (Cymru)'!H22,'Incwm (Cymru)'!Z22)</f>
        <v>18912.427899879178</v>
      </c>
    </row>
    <row r="23" spans="2:33" x14ac:dyDescent="0.25">
      <c r="B23" s="20">
        <v>29</v>
      </c>
      <c r="C23" s="56">
        <v>17070</v>
      </c>
      <c r="D23" s="57">
        <f>C23*(1+'Rhaniad y Ddeiliadaeth (Cymru)'!C$109)+(C$44*(-(50-$B23)*('Rhaniad y Ddeiliadaeth (Cymru)'!C$110/40)))</f>
        <v>17538.288018051247</v>
      </c>
      <c r="E23" s="57">
        <f>D23*(1+'Rhaniad y Ddeiliadaeth (Cymru)'!D$109)+(D$44*(-(50-$B23)*('Rhaniad y Ddeiliadaeth (Cymru)'!D$110/40)))</f>
        <v>17848.817493258295</v>
      </c>
      <c r="F23" s="57">
        <f>E23*(1+'Rhaniad y Ddeiliadaeth (Cymru)'!E$109)+(E$44*(-(50-$B23)*('Rhaniad y Ddeiliadaeth (Cymru)'!E$110/40)))</f>
        <v>18290.301726955506</v>
      </c>
      <c r="G23" s="57">
        <f>F23*(1+'Rhaniad y Ddeiliadaeth (Cymru)'!F$109)+(F$44*(-(50-$B23)*('Rhaniad y Ddeiliadaeth (Cymru)'!F$110/40)))</f>
        <v>18819.878441677367</v>
      </c>
      <c r="H23" s="58">
        <f>G23*(1+'Rhaniad y Ddeiliadaeth (Cymru)'!G$109)+(G$44*(-(50-$B23)*('Rhaniad y Ddeiliadaeth (Cymru)'!G$110/40)))</f>
        <v>19381.954180726061</v>
      </c>
      <c r="L23" s="62" t="str">
        <f t="shared" si="0"/>
        <v/>
      </c>
      <c r="M23" s="227"/>
      <c r="N23" s="14">
        <f t="shared" si="3"/>
        <v>1</v>
      </c>
      <c r="T23" s="1">
        <f t="shared" si="1"/>
        <v>29</v>
      </c>
      <c r="U23" s="4" t="str">
        <f t="shared" si="2"/>
        <v/>
      </c>
      <c r="V23" s="4" t="e">
        <f>IF($V$3=$M$3,M23,U23*(1+'Rhaniad y Ddeiliadaeth (Cymru)'!C$109)+(U$44*(-(50-$T23)*('Rhaniad y Ddeiliadaeth (Cymru)'!C$110/40))))</f>
        <v>#VALUE!</v>
      </c>
      <c r="W23" s="4" t="e">
        <f>V23*(1+'Rhaniad y Ddeiliadaeth (Cymru)'!D$109)+(V$44*(-(50-$T23)*('Rhaniad y Ddeiliadaeth (Cymru)'!D$110/40)))</f>
        <v>#VALUE!</v>
      </c>
      <c r="X23" s="4" t="e">
        <f>W23*(1+'Rhaniad y Ddeiliadaeth (Cymru)'!E$109)+(W$44*(-(50-$T23)*('Rhaniad y Ddeiliadaeth (Cymru)'!E$110/40)))</f>
        <v>#VALUE!</v>
      </c>
      <c r="Y23" s="4" t="e">
        <f>X23*(1+'Rhaniad y Ddeiliadaeth (Cymru)'!F$109)+(X$44*(-(50-$T23)*('Rhaniad y Ddeiliadaeth (Cymru)'!F$110/40)))</f>
        <v>#VALUE!</v>
      </c>
      <c r="Z23" s="4" t="e">
        <f>Y23*(1+'Rhaniad y Ddeiliadaeth (Cymru)'!G$109)+(Y$44*(-(50-$T23)*('Rhaniad y Ddeiliadaeth (Cymru)'!G$110/40)))</f>
        <v>#VALUE!</v>
      </c>
      <c r="AB23">
        <v>29</v>
      </c>
      <c r="AC23" s="4">
        <f>IF('Rhaniad y Ddeiliadaeth (Cymru)'!$D$8="Amcangyfrifon LlC",'Incwm (Cymru)'!D23,'Incwm (Cymru)'!V23)</f>
        <v>17538.288018051247</v>
      </c>
      <c r="AD23" s="4">
        <f>IF('Rhaniad y Ddeiliadaeth (Cymru)'!$D$8="Amcangyfrifon LlC",'Incwm (Cymru)'!E23,'Incwm (Cymru)'!W23)</f>
        <v>17848.817493258295</v>
      </c>
      <c r="AE23" s="4">
        <f>IF('Rhaniad y Ddeiliadaeth (Cymru)'!$D$8="Amcangyfrifon LlC",'Incwm (Cymru)'!F23,'Incwm (Cymru)'!X23)</f>
        <v>18290.301726955506</v>
      </c>
      <c r="AF23" s="4">
        <f>IF('Rhaniad y Ddeiliadaeth (Cymru)'!$D$8="Amcangyfrifon LlC",'Incwm (Cymru)'!G23,'Incwm (Cymru)'!Y23)</f>
        <v>18819.878441677367</v>
      </c>
      <c r="AG23" s="4">
        <f>IF('Rhaniad y Ddeiliadaeth (Cymru)'!$D$8="Amcangyfrifon LlC",'Incwm (Cymru)'!H23,'Incwm (Cymru)'!Z23)</f>
        <v>19381.954180726061</v>
      </c>
    </row>
    <row r="24" spans="2:33" x14ac:dyDescent="0.25">
      <c r="B24" s="20">
        <v>30</v>
      </c>
      <c r="C24" s="56">
        <v>17411</v>
      </c>
      <c r="D24" s="57">
        <f>C24*(1+'Rhaniad y Ddeiliadaeth (Cymru)'!C$109)+(C$44*(-(50-$B24)*('Rhaniad y Ddeiliadaeth (Cymru)'!C$110/40)))</f>
        <v>17897.80901121721</v>
      </c>
      <c r="E24" s="57">
        <f>D24*(1+'Rhaniad y Ddeiliadaeth (Cymru)'!D$109)+(D$44*(-(50-$B24)*('Rhaniad y Ddeiliadaeth (Cymru)'!D$110/40)))</f>
        <v>18224.267955786047</v>
      </c>
      <c r="F24" s="57">
        <f>E24*(1+'Rhaniad y Ddeiliadaeth (Cymru)'!E$109)+(E$44*(-(50-$B24)*('Rhaniad y Ddeiliadaeth (Cymru)'!E$110/40)))</f>
        <v>18684.925749280148</v>
      </c>
      <c r="G24" s="57">
        <f>F24*(1+'Rhaniad y Ddeiliadaeth (Cymru)'!F$109)+(F$44*(-(50-$B24)*('Rhaniad y Ddeiliadaeth (Cymru)'!F$110/40)))</f>
        <v>19236.220037950363</v>
      </c>
      <c r="H24" s="58">
        <f>G24*(1+'Rhaniad y Ddeiliadaeth (Cymru)'!G$109)+(G$44*(-(50-$B24)*('Rhaniad y Ddeiliadaeth (Cymru)'!G$110/40)))</f>
        <v>19821.487933815606</v>
      </c>
      <c r="L24" s="62" t="str">
        <f t="shared" si="0"/>
        <v/>
      </c>
      <c r="M24" s="227"/>
      <c r="N24" s="14">
        <f t="shared" si="3"/>
        <v>1</v>
      </c>
      <c r="T24" s="1">
        <f t="shared" si="1"/>
        <v>30</v>
      </c>
      <c r="U24" s="4" t="str">
        <f t="shared" si="2"/>
        <v/>
      </c>
      <c r="V24" s="4" t="e">
        <f>IF($V$3=$M$3,M24,U24*(1+'Rhaniad y Ddeiliadaeth (Cymru)'!C$109)+(U$44*(-(50-$T24)*('Rhaniad y Ddeiliadaeth (Cymru)'!C$110/40))))</f>
        <v>#VALUE!</v>
      </c>
      <c r="W24" s="4" t="e">
        <f>V24*(1+'Rhaniad y Ddeiliadaeth (Cymru)'!D$109)+(V$44*(-(50-$T24)*('Rhaniad y Ddeiliadaeth (Cymru)'!D$110/40)))</f>
        <v>#VALUE!</v>
      </c>
      <c r="X24" s="4" t="e">
        <f>W24*(1+'Rhaniad y Ddeiliadaeth (Cymru)'!E$109)+(W$44*(-(50-$T24)*('Rhaniad y Ddeiliadaeth (Cymru)'!E$110/40)))</f>
        <v>#VALUE!</v>
      </c>
      <c r="Y24" s="4" t="e">
        <f>X24*(1+'Rhaniad y Ddeiliadaeth (Cymru)'!F$109)+(X$44*(-(50-$T24)*('Rhaniad y Ddeiliadaeth (Cymru)'!F$110/40)))</f>
        <v>#VALUE!</v>
      </c>
      <c r="Z24" s="4" t="e">
        <f>Y24*(1+'Rhaniad y Ddeiliadaeth (Cymru)'!G$109)+(Y$44*(-(50-$T24)*('Rhaniad y Ddeiliadaeth (Cymru)'!G$110/40)))</f>
        <v>#VALUE!</v>
      </c>
      <c r="AB24">
        <v>30</v>
      </c>
      <c r="AC24" s="4">
        <f>IF('Rhaniad y Ddeiliadaeth (Cymru)'!$D$8="Amcangyfrifon LlC",'Incwm (Cymru)'!D24,'Incwm (Cymru)'!V24)</f>
        <v>17897.80901121721</v>
      </c>
      <c r="AD24" s="4">
        <f>IF('Rhaniad y Ddeiliadaeth (Cymru)'!$D$8="Amcangyfrifon LlC",'Incwm (Cymru)'!E24,'Incwm (Cymru)'!W24)</f>
        <v>18224.267955786047</v>
      </c>
      <c r="AE24" s="4">
        <f>IF('Rhaniad y Ddeiliadaeth (Cymru)'!$D$8="Amcangyfrifon LlC",'Incwm (Cymru)'!F24,'Incwm (Cymru)'!X24)</f>
        <v>18684.925749280148</v>
      </c>
      <c r="AF24" s="4">
        <f>IF('Rhaniad y Ddeiliadaeth (Cymru)'!$D$8="Amcangyfrifon LlC",'Incwm (Cymru)'!G24,'Incwm (Cymru)'!Y24)</f>
        <v>19236.220037950363</v>
      </c>
      <c r="AG24" s="4">
        <f>IF('Rhaniad y Ddeiliadaeth (Cymru)'!$D$8="Amcangyfrifon LlC",'Incwm (Cymru)'!H24,'Incwm (Cymru)'!Z24)</f>
        <v>19821.487933815606</v>
      </c>
    </row>
    <row r="25" spans="2:33" x14ac:dyDescent="0.25">
      <c r="B25" s="20">
        <v>31</v>
      </c>
      <c r="C25" s="56">
        <v>17727.45</v>
      </c>
      <c r="D25" s="57">
        <f>C25*(1+'Rhaniad y Ddeiliadaeth (Cymru)'!C$109)+(C$44*(-(50-$B25)*('Rhaniad y Ddeiliadaeth (Cymru)'!C$110/40)))</f>
        <v>18231.911490129951</v>
      </c>
      <c r="E25" s="57">
        <f>D25*(1+'Rhaniad y Ddeiliadaeth (Cymru)'!D$109)+(D$44*(-(50-$B25)*('Rhaniad y Ddeiliadaeth (Cymru)'!D$110/40)))</f>
        <v>18573.64636369716</v>
      </c>
      <c r="F25" s="57">
        <f>E25*(1+'Rhaniad y Ddeiliadaeth (Cymru)'!E$109)+(E$44*(-(50-$B25)*('Rhaniad y Ddeiliadaeth (Cymru)'!E$110/40)))</f>
        <v>19052.622475079414</v>
      </c>
      <c r="G25" s="57">
        <f>F25*(1+'Rhaniad y Ddeiliadaeth (Cymru)'!F$109)+(F$44*(-(50-$B25)*('Rhaniad y Ddeiliadaeth (Cymru)'!F$110/40)))</f>
        <v>19624.635715949164</v>
      </c>
      <c r="H25" s="58">
        <f>G25*(1+'Rhaniad y Ddeiliadaeth (Cymru)'!G$109)+(G$44*(-(50-$B25)*('Rhaniad y Ddeiliadaeth (Cymru)'!G$110/40)))</f>
        <v>20232.032846100294</v>
      </c>
      <c r="L25" s="62" t="str">
        <f t="shared" si="0"/>
        <v/>
      </c>
      <c r="M25" s="227"/>
      <c r="N25" s="14">
        <f t="shared" si="3"/>
        <v>1</v>
      </c>
      <c r="T25" s="1">
        <f t="shared" si="1"/>
        <v>31</v>
      </c>
      <c r="U25" s="4" t="str">
        <f t="shared" si="2"/>
        <v/>
      </c>
      <c r="V25" s="4" t="e">
        <f>IF($V$3=$M$3,M25,U25*(1+'Rhaniad y Ddeiliadaeth (Cymru)'!C$109)+(U$44*(-(50-$T25)*('Rhaniad y Ddeiliadaeth (Cymru)'!C$110/40))))</f>
        <v>#VALUE!</v>
      </c>
      <c r="W25" s="4" t="e">
        <f>V25*(1+'Rhaniad y Ddeiliadaeth (Cymru)'!D$109)+(V$44*(-(50-$T25)*('Rhaniad y Ddeiliadaeth (Cymru)'!D$110/40)))</f>
        <v>#VALUE!</v>
      </c>
      <c r="X25" s="4" t="e">
        <f>W25*(1+'Rhaniad y Ddeiliadaeth (Cymru)'!E$109)+(W$44*(-(50-$T25)*('Rhaniad y Ddeiliadaeth (Cymru)'!E$110/40)))</f>
        <v>#VALUE!</v>
      </c>
      <c r="Y25" s="4" t="e">
        <f>X25*(1+'Rhaniad y Ddeiliadaeth (Cymru)'!F$109)+(X$44*(-(50-$T25)*('Rhaniad y Ddeiliadaeth (Cymru)'!F$110/40)))</f>
        <v>#VALUE!</v>
      </c>
      <c r="Z25" s="4" t="e">
        <f>Y25*(1+'Rhaniad y Ddeiliadaeth (Cymru)'!G$109)+(Y$44*(-(50-$T25)*('Rhaniad y Ddeiliadaeth (Cymru)'!G$110/40)))</f>
        <v>#VALUE!</v>
      </c>
      <c r="AB25">
        <v>31</v>
      </c>
      <c r="AC25" s="4">
        <f>IF('Rhaniad y Ddeiliadaeth (Cymru)'!$D$8="Amcangyfrifon LlC",'Incwm (Cymru)'!D25,'Incwm (Cymru)'!V25)</f>
        <v>18231.911490129951</v>
      </c>
      <c r="AD25" s="4">
        <f>IF('Rhaniad y Ddeiliadaeth (Cymru)'!$D$8="Amcangyfrifon LlC",'Incwm (Cymru)'!E25,'Incwm (Cymru)'!W25)</f>
        <v>18573.64636369716</v>
      </c>
      <c r="AE25" s="4">
        <f>IF('Rhaniad y Ddeiliadaeth (Cymru)'!$D$8="Amcangyfrifon LlC",'Incwm (Cymru)'!F25,'Incwm (Cymru)'!X25)</f>
        <v>19052.622475079414</v>
      </c>
      <c r="AF25" s="4">
        <f>IF('Rhaniad y Ddeiliadaeth (Cymru)'!$D$8="Amcangyfrifon LlC",'Incwm (Cymru)'!G25,'Incwm (Cymru)'!Y25)</f>
        <v>19624.635715949164</v>
      </c>
      <c r="AG25" s="4">
        <f>IF('Rhaniad y Ddeiliadaeth (Cymru)'!$D$8="Amcangyfrifon LlC",'Incwm (Cymru)'!H25,'Incwm (Cymru)'!Z25)</f>
        <v>20232.032846100294</v>
      </c>
    </row>
    <row r="26" spans="2:33" x14ac:dyDescent="0.25">
      <c r="B26" s="20">
        <v>32</v>
      </c>
      <c r="C26" s="56">
        <v>18145.5</v>
      </c>
      <c r="D26" s="57">
        <f>C26*(1+'Rhaniad y Ddeiliadaeth (Cymru)'!C$109)+(C$44*(-(50-$B26)*('Rhaniad y Ddeiliadaeth (Cymru)'!C$110/40)))</f>
        <v>18671.208309088615</v>
      </c>
      <c r="E26" s="57">
        <f>D26*(1+'Rhaniad y Ddeiliadaeth (Cymru)'!D$109)+(D$44*(-(50-$B26)*('Rhaniad y Ddeiliadaeth (Cymru)'!D$110/40)))</f>
        <v>19030.923783789542</v>
      </c>
      <c r="F26" s="57">
        <f>E26*(1+'Rhaniad y Ddeiliadaeth (Cymru)'!E$109)+(E$44*(-(50-$B26)*('Rhaniad y Ddeiliadaeth (Cymru)'!E$110/40)))</f>
        <v>19531.757625602822</v>
      </c>
      <c r="G26" s="57">
        <f>F26*(1+'Rhaniad y Ddeiliadaeth (Cymru)'!F$109)+(F$44*(-(50-$B26)*('Rhaniad y Ddeiliadaeth (Cymru)'!F$110/40)))</f>
        <v>20128.622607661091</v>
      </c>
      <c r="H26" s="58">
        <f>G26*(1+'Rhaniad y Ddeiliadaeth (Cymru)'!G$109)+(G$44*(-(50-$B26)*('Rhaniad y Ddeiliadaeth (Cymru)'!G$110/40)))</f>
        <v>20762.5478694144</v>
      </c>
      <c r="L26" s="62" t="str">
        <f t="shared" si="0"/>
        <v/>
      </c>
      <c r="M26" s="227"/>
      <c r="N26" s="14">
        <f t="shared" si="3"/>
        <v>1</v>
      </c>
      <c r="T26" s="1">
        <f t="shared" si="1"/>
        <v>32</v>
      </c>
      <c r="U26" s="4" t="str">
        <f t="shared" si="2"/>
        <v/>
      </c>
      <c r="V26" s="4" t="e">
        <f>IF($V$3=$M$3,M26,U26*(1+'Rhaniad y Ddeiliadaeth (Cymru)'!C$109)+(U$44*(-(50-$T26)*('Rhaniad y Ddeiliadaeth (Cymru)'!C$110/40))))</f>
        <v>#VALUE!</v>
      </c>
      <c r="W26" s="4" t="e">
        <f>V26*(1+'Rhaniad y Ddeiliadaeth (Cymru)'!D$109)+(V$44*(-(50-$T26)*('Rhaniad y Ddeiliadaeth (Cymru)'!D$110/40)))</f>
        <v>#VALUE!</v>
      </c>
      <c r="X26" s="4" t="e">
        <f>W26*(1+'Rhaniad y Ddeiliadaeth (Cymru)'!E$109)+(W$44*(-(50-$T26)*('Rhaniad y Ddeiliadaeth (Cymru)'!E$110/40)))</f>
        <v>#VALUE!</v>
      </c>
      <c r="Y26" s="4" t="e">
        <f>X26*(1+'Rhaniad y Ddeiliadaeth (Cymru)'!F$109)+(X$44*(-(50-$T26)*('Rhaniad y Ddeiliadaeth (Cymru)'!F$110/40)))</f>
        <v>#VALUE!</v>
      </c>
      <c r="Z26" s="4" t="e">
        <f>Y26*(1+'Rhaniad y Ddeiliadaeth (Cymru)'!G$109)+(Y$44*(-(50-$T26)*('Rhaniad y Ddeiliadaeth (Cymru)'!G$110/40)))</f>
        <v>#VALUE!</v>
      </c>
      <c r="AB26">
        <v>32</v>
      </c>
      <c r="AC26" s="4">
        <f>IF('Rhaniad y Ddeiliadaeth (Cymru)'!$D$8="Amcangyfrifon LlC",'Incwm (Cymru)'!D26,'Incwm (Cymru)'!V26)</f>
        <v>18671.208309088615</v>
      </c>
      <c r="AD26" s="4">
        <f>IF('Rhaniad y Ddeiliadaeth (Cymru)'!$D$8="Amcangyfrifon LlC",'Incwm (Cymru)'!E26,'Incwm (Cymru)'!W26)</f>
        <v>19030.923783789542</v>
      </c>
      <c r="AE26" s="4">
        <f>IF('Rhaniad y Ddeiliadaeth (Cymru)'!$D$8="Amcangyfrifon LlC",'Incwm (Cymru)'!F26,'Incwm (Cymru)'!X26)</f>
        <v>19531.757625602822</v>
      </c>
      <c r="AF26" s="4">
        <f>IF('Rhaniad y Ddeiliadaeth (Cymru)'!$D$8="Amcangyfrifon LlC",'Incwm (Cymru)'!G26,'Incwm (Cymru)'!Y26)</f>
        <v>20128.622607661091</v>
      </c>
      <c r="AG26" s="4">
        <f>IF('Rhaniad y Ddeiliadaeth (Cymru)'!$D$8="Amcangyfrifon LlC",'Incwm (Cymru)'!H26,'Incwm (Cymru)'!Z26)</f>
        <v>20762.5478694144</v>
      </c>
    </row>
    <row r="27" spans="2:33" x14ac:dyDescent="0.25">
      <c r="B27" s="20">
        <v>33</v>
      </c>
      <c r="C27" s="56">
        <v>18572</v>
      </c>
      <c r="D27" s="57">
        <f>C27*(1+'Rhaniad y Ddeiliadaeth (Cymru)'!C$109)+(C$44*(-(50-$B27)*('Rhaniad y Ddeiliadaeth (Cymru)'!C$110/40)))</f>
        <v>19119.254066761732</v>
      </c>
      <c r="E27" s="57">
        <f>D27*(1+'Rhaniad y Ddeiliadaeth (Cymru)'!D$109)+(D$44*(-(50-$B27)*('Rhaniad y Ddeiliadaeth (Cymru)'!D$110/40)))</f>
        <v>19497.17508826117</v>
      </c>
      <c r="F27" s="57">
        <f>E27*(1+'Rhaniad y Ddeiliadaeth (Cymru)'!E$109)+(E$44*(-(50-$B27)*('Rhaniad y Ddeiliadaeth (Cymru)'!E$110/40)))</f>
        <v>20020.161030938423</v>
      </c>
      <c r="G27" s="57">
        <f>F27*(1+'Rhaniad y Ddeiliadaeth (Cymru)'!F$109)+(F$44*(-(50-$B27)*('Rhaniad y Ddeiliadaeth (Cymru)'!F$110/40)))</f>
        <v>20642.22147531667</v>
      </c>
      <c r="H27" s="58">
        <f>G27*(1+'Rhaniad y Ddeiliadaeth (Cymru)'!G$109)+(G$44*(-(50-$B27)*('Rhaniad y Ddeiliadaeth (Cymru)'!G$110/40)))</f>
        <v>21303.040721844631</v>
      </c>
      <c r="L27" s="62" t="str">
        <f t="shared" si="0"/>
        <v/>
      </c>
      <c r="M27" s="227"/>
      <c r="N27" s="14">
        <f t="shared" si="3"/>
        <v>1</v>
      </c>
      <c r="T27" s="1">
        <f t="shared" si="1"/>
        <v>33</v>
      </c>
      <c r="U27" s="4" t="str">
        <f t="shared" si="2"/>
        <v/>
      </c>
      <c r="V27" s="4" t="e">
        <f>IF($V$3=$M$3,M27,U27*(1+'Rhaniad y Ddeiliadaeth (Cymru)'!C$109)+(U$44*(-(50-$T27)*('Rhaniad y Ddeiliadaeth (Cymru)'!C$110/40))))</f>
        <v>#VALUE!</v>
      </c>
      <c r="W27" s="4" t="e">
        <f>V27*(1+'Rhaniad y Ddeiliadaeth (Cymru)'!D$109)+(V$44*(-(50-$T27)*('Rhaniad y Ddeiliadaeth (Cymru)'!D$110/40)))</f>
        <v>#VALUE!</v>
      </c>
      <c r="X27" s="4" t="e">
        <f>W27*(1+'Rhaniad y Ddeiliadaeth (Cymru)'!E$109)+(W$44*(-(50-$T27)*('Rhaniad y Ddeiliadaeth (Cymru)'!E$110/40)))</f>
        <v>#VALUE!</v>
      </c>
      <c r="Y27" s="4" t="e">
        <f>X27*(1+'Rhaniad y Ddeiliadaeth (Cymru)'!F$109)+(X$44*(-(50-$T27)*('Rhaniad y Ddeiliadaeth (Cymru)'!F$110/40)))</f>
        <v>#VALUE!</v>
      </c>
      <c r="Z27" s="4" t="e">
        <f>Y27*(1+'Rhaniad y Ddeiliadaeth (Cymru)'!G$109)+(Y$44*(-(50-$T27)*('Rhaniad y Ddeiliadaeth (Cymru)'!G$110/40)))</f>
        <v>#VALUE!</v>
      </c>
      <c r="AB27">
        <v>33</v>
      </c>
      <c r="AC27" s="4">
        <f>IF('Rhaniad y Ddeiliadaeth (Cymru)'!$D$8="Amcangyfrifon LlC",'Incwm (Cymru)'!D27,'Incwm (Cymru)'!V27)</f>
        <v>19119.254066761732</v>
      </c>
      <c r="AD27" s="4">
        <f>IF('Rhaniad y Ddeiliadaeth (Cymru)'!$D$8="Amcangyfrifon LlC",'Incwm (Cymru)'!E27,'Incwm (Cymru)'!W27)</f>
        <v>19497.17508826117</v>
      </c>
      <c r="AE27" s="4">
        <f>IF('Rhaniad y Ddeiliadaeth (Cymru)'!$D$8="Amcangyfrifon LlC",'Incwm (Cymru)'!F27,'Incwm (Cymru)'!X27)</f>
        <v>20020.161030938423</v>
      </c>
      <c r="AF27" s="4">
        <f>IF('Rhaniad y Ddeiliadaeth (Cymru)'!$D$8="Amcangyfrifon LlC",'Incwm (Cymru)'!G27,'Incwm (Cymru)'!Y27)</f>
        <v>20642.22147531667</v>
      </c>
      <c r="AG27" s="4">
        <f>IF('Rhaniad y Ddeiliadaeth (Cymru)'!$D$8="Amcangyfrifon LlC",'Incwm (Cymru)'!H27,'Incwm (Cymru)'!Z27)</f>
        <v>21303.040721844631</v>
      </c>
    </row>
    <row r="28" spans="2:33" x14ac:dyDescent="0.25">
      <c r="B28" s="20">
        <v>34</v>
      </c>
      <c r="C28" s="56">
        <v>18966.22</v>
      </c>
      <c r="D28" s="57">
        <f>C28*(1+'Rhaniad y Ddeiliadaeth (Cymru)'!C$109)+(C$44*(-(50-$B28)*('Rhaniad y Ddeiliadaeth (Cymru)'!C$110/40)))</f>
        <v>19533.877843168291</v>
      </c>
      <c r="E28" s="57">
        <f>D28*(1+'Rhaniad y Ddeiliadaeth (Cymru)'!D$109)+(D$44*(-(50-$B28)*('Rhaniad y Ddeiliadaeth (Cymru)'!D$110/40)))</f>
        <v>19929.145092405925</v>
      </c>
      <c r="F28" s="57">
        <f>E28*(1+'Rhaniad y Ddeiliadaeth (Cymru)'!E$109)+(E$44*(-(50-$B28)*('Rhaniad y Ddeiliadaeth (Cymru)'!E$110/40)))</f>
        <v>20473.158606056557</v>
      </c>
      <c r="G28" s="57">
        <f>F28*(1+'Rhaniad y Ddeiliadaeth (Cymru)'!F$109)+(F$44*(-(50-$B28)*('Rhaniad y Ddeiliadaeth (Cymru)'!F$110/40)))</f>
        <v>21119.101457355529</v>
      </c>
      <c r="H28" s="58">
        <f>G28*(1+'Rhaniad y Ddeiliadaeth (Cymru)'!G$109)+(G$44*(-(50-$B28)*('Rhaniad y Ddeiliadaeth (Cymru)'!G$110/40)))</f>
        <v>21805.417086243076</v>
      </c>
      <c r="L28" s="62" t="str">
        <f t="shared" si="0"/>
        <v/>
      </c>
      <c r="M28" s="227"/>
      <c r="N28" s="14">
        <f t="shared" si="3"/>
        <v>1</v>
      </c>
      <c r="T28" s="1">
        <f t="shared" si="1"/>
        <v>34</v>
      </c>
      <c r="U28" s="4" t="str">
        <f t="shared" si="2"/>
        <v/>
      </c>
      <c r="V28" s="4" t="e">
        <f>IF($V$3=$M$3,M28,U28*(1+'Rhaniad y Ddeiliadaeth (Cymru)'!C$109)+(U$44*(-(50-$T28)*('Rhaniad y Ddeiliadaeth (Cymru)'!C$110/40))))</f>
        <v>#VALUE!</v>
      </c>
      <c r="W28" s="4" t="e">
        <f>V28*(1+'Rhaniad y Ddeiliadaeth (Cymru)'!D$109)+(V$44*(-(50-$T28)*('Rhaniad y Ddeiliadaeth (Cymru)'!D$110/40)))</f>
        <v>#VALUE!</v>
      </c>
      <c r="X28" s="4" t="e">
        <f>W28*(1+'Rhaniad y Ddeiliadaeth (Cymru)'!E$109)+(W$44*(-(50-$T28)*('Rhaniad y Ddeiliadaeth (Cymru)'!E$110/40)))</f>
        <v>#VALUE!</v>
      </c>
      <c r="Y28" s="4" t="e">
        <f>X28*(1+'Rhaniad y Ddeiliadaeth (Cymru)'!F$109)+(X$44*(-(50-$T28)*('Rhaniad y Ddeiliadaeth (Cymru)'!F$110/40)))</f>
        <v>#VALUE!</v>
      </c>
      <c r="Z28" s="4" t="e">
        <f>Y28*(1+'Rhaniad y Ddeiliadaeth (Cymru)'!G$109)+(Y$44*(-(50-$T28)*('Rhaniad y Ddeiliadaeth (Cymru)'!G$110/40)))</f>
        <v>#VALUE!</v>
      </c>
      <c r="AB28">
        <v>34</v>
      </c>
      <c r="AC28" s="4">
        <f>IF('Rhaniad y Ddeiliadaeth (Cymru)'!$D$8="Amcangyfrifon LlC",'Incwm (Cymru)'!D28,'Incwm (Cymru)'!V28)</f>
        <v>19533.877843168291</v>
      </c>
      <c r="AD28" s="4">
        <f>IF('Rhaniad y Ddeiliadaeth (Cymru)'!$D$8="Amcangyfrifon LlC",'Incwm (Cymru)'!E28,'Incwm (Cymru)'!W28)</f>
        <v>19929.145092405925</v>
      </c>
      <c r="AE28" s="4">
        <f>IF('Rhaniad y Ddeiliadaeth (Cymru)'!$D$8="Amcangyfrifon LlC",'Incwm (Cymru)'!F28,'Incwm (Cymru)'!X28)</f>
        <v>20473.158606056557</v>
      </c>
      <c r="AF28" s="4">
        <f>IF('Rhaniad y Ddeiliadaeth (Cymru)'!$D$8="Amcangyfrifon LlC",'Incwm (Cymru)'!G28,'Incwm (Cymru)'!Y28)</f>
        <v>21119.101457355529</v>
      </c>
      <c r="AG28" s="4">
        <f>IF('Rhaniad y Ddeiliadaeth (Cymru)'!$D$8="Amcangyfrifon LlC",'Incwm (Cymru)'!H28,'Incwm (Cymru)'!Z28)</f>
        <v>21805.417086243076</v>
      </c>
    </row>
    <row r="29" spans="2:33" x14ac:dyDescent="0.25">
      <c r="B29" s="20">
        <v>35</v>
      </c>
      <c r="C29" s="56">
        <v>19362.75</v>
      </c>
      <c r="D29" s="57">
        <f>C29*(1+'Rhaniad y Ddeiliadaeth (Cymru)'!C$109)+(C$44*(-(50-$B29)*('Rhaniad y Ddeiliadaeth (Cymru)'!C$110/40)))</f>
        <v>19950.893341282583</v>
      </c>
      <c r="E29" s="57">
        <f>D29*(1+'Rhaniad y Ddeiliadaeth (Cymru)'!D$109)+(D$44*(-(50-$B29)*('Rhaniad y Ddeiliadaeth (Cymru)'!D$110/40)))</f>
        <v>20363.568312280378</v>
      </c>
      <c r="F29" s="57">
        <f>E29*(1+'Rhaniad y Ddeiliadaeth (Cymru)'!E$109)+(E$44*(-(50-$B29)*('Rhaniad y Ddeiliadaeth (Cymru)'!E$110/40)))</f>
        <v>20928.68986976831</v>
      </c>
      <c r="G29" s="57">
        <f>F29*(1+'Rhaniad y Ddeiliadaeth (Cymru)'!F$109)+(F$44*(-(50-$B29)*('Rhaniad y Ddeiliadaeth (Cymru)'!F$110/40)))</f>
        <v>21598.609091989631</v>
      </c>
      <c r="H29" s="58">
        <f>G29*(1+'Rhaniad y Ddeiliadaeth (Cymru)'!G$109)+(G$44*(-(50-$B29)*('Rhaniad y Ddeiliadaeth (Cymru)'!G$110/40)))</f>
        <v>22310.521117535987</v>
      </c>
      <c r="L29" s="62" t="str">
        <f t="shared" si="0"/>
        <v/>
      </c>
      <c r="M29" s="227"/>
      <c r="N29" s="14">
        <f t="shared" si="3"/>
        <v>1</v>
      </c>
      <c r="T29" s="1">
        <f t="shared" si="1"/>
        <v>35</v>
      </c>
      <c r="U29" s="4" t="str">
        <f t="shared" si="2"/>
        <v/>
      </c>
      <c r="V29" s="4" t="e">
        <f>IF($V$3=$M$3,M29,U29*(1+'Rhaniad y Ddeiliadaeth (Cymru)'!C$109)+(U$44*(-(50-$T29)*('Rhaniad y Ddeiliadaeth (Cymru)'!C$110/40))))</f>
        <v>#VALUE!</v>
      </c>
      <c r="W29" s="4" t="e">
        <f>V29*(1+'Rhaniad y Ddeiliadaeth (Cymru)'!D$109)+(V$44*(-(50-$T29)*('Rhaniad y Ddeiliadaeth (Cymru)'!D$110/40)))</f>
        <v>#VALUE!</v>
      </c>
      <c r="X29" s="4" t="e">
        <f>W29*(1+'Rhaniad y Ddeiliadaeth (Cymru)'!E$109)+(W$44*(-(50-$T29)*('Rhaniad y Ddeiliadaeth (Cymru)'!E$110/40)))</f>
        <v>#VALUE!</v>
      </c>
      <c r="Y29" s="4" t="e">
        <f>X29*(1+'Rhaniad y Ddeiliadaeth (Cymru)'!F$109)+(X$44*(-(50-$T29)*('Rhaniad y Ddeiliadaeth (Cymru)'!F$110/40)))</f>
        <v>#VALUE!</v>
      </c>
      <c r="Z29" s="4" t="e">
        <f>Y29*(1+'Rhaniad y Ddeiliadaeth (Cymru)'!G$109)+(Y$44*(-(50-$T29)*('Rhaniad y Ddeiliadaeth (Cymru)'!G$110/40)))</f>
        <v>#VALUE!</v>
      </c>
      <c r="AB29">
        <v>35</v>
      </c>
      <c r="AC29" s="4">
        <f>IF('Rhaniad y Ddeiliadaeth (Cymru)'!$D$8="Amcangyfrifon LlC",'Incwm (Cymru)'!D29,'Incwm (Cymru)'!V29)</f>
        <v>19950.893341282583</v>
      </c>
      <c r="AD29" s="4">
        <f>IF('Rhaniad y Ddeiliadaeth (Cymru)'!$D$8="Amcangyfrifon LlC",'Incwm (Cymru)'!E29,'Incwm (Cymru)'!W29)</f>
        <v>20363.568312280378</v>
      </c>
      <c r="AE29" s="4">
        <f>IF('Rhaniad y Ddeiliadaeth (Cymru)'!$D$8="Amcangyfrifon LlC",'Incwm (Cymru)'!F29,'Incwm (Cymru)'!X29)</f>
        <v>20928.68986976831</v>
      </c>
      <c r="AF29" s="4">
        <f>IF('Rhaniad y Ddeiliadaeth (Cymru)'!$D$8="Amcangyfrifon LlC",'Incwm (Cymru)'!G29,'Incwm (Cymru)'!Y29)</f>
        <v>21598.609091989631</v>
      </c>
      <c r="AG29" s="4">
        <f>IF('Rhaniad y Ddeiliadaeth (Cymru)'!$D$8="Amcangyfrifon LlC",'Incwm (Cymru)'!H29,'Incwm (Cymru)'!Z29)</f>
        <v>22310.521117535987</v>
      </c>
    </row>
    <row r="30" spans="2:33" x14ac:dyDescent="0.25">
      <c r="B30" s="20">
        <v>36</v>
      </c>
      <c r="C30" s="56">
        <v>19692.5</v>
      </c>
      <c r="D30" s="57">
        <f>C30*(1+'Rhaniad y Ddeiliadaeth (Cymru)'!C$109)+(C$44*(-(50-$B30)*('Rhaniad y Ddeiliadaeth (Cymru)'!C$110/40)))</f>
        <v>20298.766339118654</v>
      </c>
      <c r="E30" s="57">
        <f>D30*(1+'Rhaniad y Ddeiliadaeth (Cymru)'!D$109)+(D$44*(-(50-$B30)*('Rhaniad y Ddeiliadaeth (Cymru)'!D$110/40)))</f>
        <v>20727.071295604983</v>
      </c>
      <c r="F30" s="57">
        <f>E30*(1+'Rhaniad y Ddeiliadaeth (Cymru)'!E$109)+(E$44*(-(50-$B30)*('Rhaniad y Ddeiliadaeth (Cymru)'!E$110/40)))</f>
        <v>21310.974499591506</v>
      </c>
      <c r="G30" s="57">
        <f>F30*(1+'Rhaniad y Ddeiliadaeth (Cymru)'!F$109)+(F$44*(-(50-$B30)*('Rhaniad y Ddeiliadaeth (Cymru)'!F$110/40)))</f>
        <v>22002.153678870174</v>
      </c>
      <c r="H30" s="58">
        <f>G30*(1+'Rhaniad y Ddeiliadaeth (Cymru)'!G$109)+(G$44*(-(50-$B30)*('Rhaniad y Ddeiliadaeth (Cymru)'!G$110/40)))</f>
        <v>22736.770778607013</v>
      </c>
      <c r="L30" s="62" t="str">
        <f t="shared" si="0"/>
        <v/>
      </c>
      <c r="M30" s="227"/>
      <c r="N30" s="14">
        <f t="shared" si="3"/>
        <v>1</v>
      </c>
      <c r="T30" s="1">
        <f t="shared" si="1"/>
        <v>36</v>
      </c>
      <c r="U30" s="4" t="str">
        <f t="shared" si="2"/>
        <v/>
      </c>
      <c r="V30" s="4" t="e">
        <f>IF($V$3=$M$3,M30,U30*(1+'Rhaniad y Ddeiliadaeth (Cymru)'!C$109)+(U$44*(-(50-$T30)*('Rhaniad y Ddeiliadaeth (Cymru)'!C$110/40))))</f>
        <v>#VALUE!</v>
      </c>
      <c r="W30" s="4" t="e">
        <f>V30*(1+'Rhaniad y Ddeiliadaeth (Cymru)'!D$109)+(V$44*(-(50-$T30)*('Rhaniad y Ddeiliadaeth (Cymru)'!D$110/40)))</f>
        <v>#VALUE!</v>
      </c>
      <c r="X30" s="4" t="e">
        <f>W30*(1+'Rhaniad y Ddeiliadaeth (Cymru)'!E$109)+(W$44*(-(50-$T30)*('Rhaniad y Ddeiliadaeth (Cymru)'!E$110/40)))</f>
        <v>#VALUE!</v>
      </c>
      <c r="Y30" s="4" t="e">
        <f>X30*(1+'Rhaniad y Ddeiliadaeth (Cymru)'!F$109)+(X$44*(-(50-$T30)*('Rhaniad y Ddeiliadaeth (Cymru)'!F$110/40)))</f>
        <v>#VALUE!</v>
      </c>
      <c r="Z30" s="4" t="e">
        <f>Y30*(1+'Rhaniad y Ddeiliadaeth (Cymru)'!G$109)+(Y$44*(-(50-$T30)*('Rhaniad y Ddeiliadaeth (Cymru)'!G$110/40)))</f>
        <v>#VALUE!</v>
      </c>
      <c r="AB30">
        <v>36</v>
      </c>
      <c r="AC30" s="4">
        <f>IF('Rhaniad y Ddeiliadaeth (Cymru)'!$D$8="Amcangyfrifon LlC",'Incwm (Cymru)'!D30,'Incwm (Cymru)'!V30)</f>
        <v>20298.766339118654</v>
      </c>
      <c r="AD30" s="4">
        <f>IF('Rhaniad y Ddeiliadaeth (Cymru)'!$D$8="Amcangyfrifon LlC",'Incwm (Cymru)'!E30,'Incwm (Cymru)'!W30)</f>
        <v>20727.071295604983</v>
      </c>
      <c r="AE30" s="4">
        <f>IF('Rhaniad y Ddeiliadaeth (Cymru)'!$D$8="Amcangyfrifon LlC",'Incwm (Cymru)'!F30,'Incwm (Cymru)'!X30)</f>
        <v>21310.974499591506</v>
      </c>
      <c r="AF30" s="4">
        <f>IF('Rhaniad y Ddeiliadaeth (Cymru)'!$D$8="Amcangyfrifon LlC",'Incwm (Cymru)'!G30,'Incwm (Cymru)'!Y30)</f>
        <v>22002.153678870174</v>
      </c>
      <c r="AG30" s="4">
        <f>IF('Rhaniad y Ddeiliadaeth (Cymru)'!$D$8="Amcangyfrifon LlC",'Incwm (Cymru)'!H30,'Incwm (Cymru)'!Z30)</f>
        <v>22736.770778607013</v>
      </c>
    </row>
    <row r="31" spans="2:33" x14ac:dyDescent="0.25">
      <c r="B31" s="20">
        <v>37</v>
      </c>
      <c r="C31" s="56">
        <v>20073.233</v>
      </c>
      <c r="D31" s="57">
        <f>C31*(1+'Rhaniad y Ddeiliadaeth (Cymru)'!C$109)+(C$44*(-(50-$B31)*('Rhaniad y Ddeiliadaeth (Cymru)'!C$110/40)))</f>
        <v>20699.425981035063</v>
      </c>
      <c r="E31" s="57">
        <f>D31*(1+'Rhaniad y Ddeiliadaeth (Cymru)'!D$109)+(D$44*(-(50-$B31)*('Rhaniad y Ddeiliadaeth (Cymru)'!D$110/40)))</f>
        <v>21144.718130681937</v>
      </c>
      <c r="F31" s="57">
        <f>E31*(1+'Rhaniad y Ddeiliadaeth (Cymru)'!E$109)+(E$44*(-(50-$B31)*('Rhaniad y Ddeiliadaeth (Cymru)'!E$110/40)))</f>
        <v>21749.17906256147</v>
      </c>
      <c r="G31" s="57">
        <f>F31*(1+'Rhaniad y Ddeiliadaeth (Cymru)'!F$109)+(F$44*(-(50-$B31)*('Rhaniad y Ddeiliadaeth (Cymru)'!F$110/40)))</f>
        <v>22463.692037293396</v>
      </c>
      <c r="H31" s="58">
        <f>G31*(1+'Rhaniad y Ddeiliadaeth (Cymru)'!G$109)+(G$44*(-(50-$B31)*('Rhaniad y Ddeiliadaeth (Cymru)'!G$110/40)))</f>
        <v>23223.22158308958</v>
      </c>
      <c r="L31" s="62" t="str">
        <f t="shared" si="0"/>
        <v/>
      </c>
      <c r="M31" s="227"/>
      <c r="N31" s="14">
        <f t="shared" si="3"/>
        <v>1</v>
      </c>
      <c r="T31" s="1">
        <f t="shared" si="1"/>
        <v>37</v>
      </c>
      <c r="U31" s="4" t="str">
        <f t="shared" si="2"/>
        <v/>
      </c>
      <c r="V31" s="4" t="e">
        <f>IF($V$3=$M$3,M31,U31*(1+'Rhaniad y Ddeiliadaeth (Cymru)'!C$109)+(U$44*(-(50-$T31)*('Rhaniad y Ddeiliadaeth (Cymru)'!C$110/40))))</f>
        <v>#VALUE!</v>
      </c>
      <c r="W31" s="4" t="e">
        <f>V31*(1+'Rhaniad y Ddeiliadaeth (Cymru)'!D$109)+(V$44*(-(50-$T31)*('Rhaniad y Ddeiliadaeth (Cymru)'!D$110/40)))</f>
        <v>#VALUE!</v>
      </c>
      <c r="X31" s="4" t="e">
        <f>W31*(1+'Rhaniad y Ddeiliadaeth (Cymru)'!E$109)+(W$44*(-(50-$T31)*('Rhaniad y Ddeiliadaeth (Cymru)'!E$110/40)))</f>
        <v>#VALUE!</v>
      </c>
      <c r="Y31" s="4" t="e">
        <f>X31*(1+'Rhaniad y Ddeiliadaeth (Cymru)'!F$109)+(X$44*(-(50-$T31)*('Rhaniad y Ddeiliadaeth (Cymru)'!F$110/40)))</f>
        <v>#VALUE!</v>
      </c>
      <c r="Z31" s="4" t="e">
        <f>Y31*(1+'Rhaniad y Ddeiliadaeth (Cymru)'!G$109)+(Y$44*(-(50-$T31)*('Rhaniad y Ddeiliadaeth (Cymru)'!G$110/40)))</f>
        <v>#VALUE!</v>
      </c>
      <c r="AB31">
        <v>37</v>
      </c>
      <c r="AC31" s="4">
        <f>IF('Rhaniad y Ddeiliadaeth (Cymru)'!$D$8="Amcangyfrifon LlC",'Incwm (Cymru)'!D31,'Incwm (Cymru)'!V31)</f>
        <v>20699.425981035063</v>
      </c>
      <c r="AD31" s="4">
        <f>IF('Rhaniad y Ddeiliadaeth (Cymru)'!$D$8="Amcangyfrifon LlC",'Incwm (Cymru)'!E31,'Incwm (Cymru)'!W31)</f>
        <v>21144.718130681937</v>
      </c>
      <c r="AE31" s="4">
        <f>IF('Rhaniad y Ddeiliadaeth (Cymru)'!$D$8="Amcangyfrifon LlC",'Incwm (Cymru)'!F31,'Incwm (Cymru)'!X31)</f>
        <v>21749.17906256147</v>
      </c>
      <c r="AF31" s="4">
        <f>IF('Rhaniad y Ddeiliadaeth (Cymru)'!$D$8="Amcangyfrifon LlC",'Incwm (Cymru)'!G31,'Incwm (Cymru)'!Y31)</f>
        <v>22463.692037293396</v>
      </c>
      <c r="AG31" s="4">
        <f>IF('Rhaniad y Ddeiliadaeth (Cymru)'!$D$8="Amcangyfrifon LlC",'Incwm (Cymru)'!H31,'Incwm (Cymru)'!Z31)</f>
        <v>23223.22158308958</v>
      </c>
    </row>
    <row r="32" spans="2:33" x14ac:dyDescent="0.25">
      <c r="B32" s="20">
        <v>38</v>
      </c>
      <c r="C32" s="56">
        <v>20488</v>
      </c>
      <c r="D32" s="57">
        <f>C32*(1+'Rhaniad y Ddeiliadaeth (Cymru)'!C$109)+(C$44*(-(50-$B32)*('Rhaniad y Ddeiliadaeth (Cymru)'!C$110/40)))</f>
        <v>21135.323656112127</v>
      </c>
      <c r="E32" s="57">
        <f>D32*(1+'Rhaniad y Ddeiliadaeth (Cymru)'!D$109)+(D$44*(-(50-$B32)*('Rhaniad y Ddeiliadaeth (Cymru)'!D$110/40)))</f>
        <v>21598.5090108433</v>
      </c>
      <c r="F32" s="57">
        <f>E32*(1+'Rhaniad y Ddeiliadaeth (Cymru)'!E$109)+(E$44*(-(50-$B32)*('Rhaniad y Ddeiliadaeth (Cymru)'!E$110/40)))</f>
        <v>22224.713304144228</v>
      </c>
      <c r="G32" s="57">
        <f>F32*(1+'Rhaniad y Ddeiliadaeth (Cymru)'!F$109)+(F$44*(-(50-$B32)*('Rhaniad y Ddeiliadaeth (Cymru)'!F$110/40)))</f>
        <v>22963.944477286612</v>
      </c>
      <c r="H32" s="58">
        <f>G32*(1+'Rhaniad y Ddeiliadaeth (Cymru)'!G$109)+(G$44*(-(50-$B32)*('Rhaniad y Ddeiliadaeth (Cymru)'!G$110/40)))</f>
        <v>23749.860013150628</v>
      </c>
      <c r="L32" s="62" t="str">
        <f t="shared" si="0"/>
        <v/>
      </c>
      <c r="M32" s="227"/>
      <c r="N32" s="14">
        <f t="shared" si="3"/>
        <v>1</v>
      </c>
      <c r="T32" s="1">
        <f t="shared" si="1"/>
        <v>38</v>
      </c>
      <c r="U32" s="4" t="str">
        <f t="shared" si="2"/>
        <v/>
      </c>
      <c r="V32" s="4" t="e">
        <f>IF($V$3=$M$3,M32,U32*(1+'Rhaniad y Ddeiliadaeth (Cymru)'!C$109)+(U$44*(-(50-$T32)*('Rhaniad y Ddeiliadaeth (Cymru)'!C$110/40))))</f>
        <v>#VALUE!</v>
      </c>
      <c r="W32" s="4" t="e">
        <f>V32*(1+'Rhaniad y Ddeiliadaeth (Cymru)'!D$109)+(V$44*(-(50-$T32)*('Rhaniad y Ddeiliadaeth (Cymru)'!D$110/40)))</f>
        <v>#VALUE!</v>
      </c>
      <c r="X32" s="4" t="e">
        <f>W32*(1+'Rhaniad y Ddeiliadaeth (Cymru)'!E$109)+(W$44*(-(50-$T32)*('Rhaniad y Ddeiliadaeth (Cymru)'!E$110/40)))</f>
        <v>#VALUE!</v>
      </c>
      <c r="Y32" s="4" t="e">
        <f>X32*(1+'Rhaniad y Ddeiliadaeth (Cymru)'!F$109)+(X$44*(-(50-$T32)*('Rhaniad y Ddeiliadaeth (Cymru)'!F$110/40)))</f>
        <v>#VALUE!</v>
      </c>
      <c r="Z32" s="4" t="e">
        <f>Y32*(1+'Rhaniad y Ddeiliadaeth (Cymru)'!G$109)+(Y$44*(-(50-$T32)*('Rhaniad y Ddeiliadaeth (Cymru)'!G$110/40)))</f>
        <v>#VALUE!</v>
      </c>
      <c r="AB32">
        <v>38</v>
      </c>
      <c r="AC32" s="4">
        <f>IF('Rhaniad y Ddeiliadaeth (Cymru)'!$D$8="Amcangyfrifon LlC",'Incwm (Cymru)'!D32,'Incwm (Cymru)'!V32)</f>
        <v>21135.323656112127</v>
      </c>
      <c r="AD32" s="4">
        <f>IF('Rhaniad y Ddeiliadaeth (Cymru)'!$D$8="Amcangyfrifon LlC",'Incwm (Cymru)'!E32,'Incwm (Cymru)'!W32)</f>
        <v>21598.5090108433</v>
      </c>
      <c r="AE32" s="4">
        <f>IF('Rhaniad y Ddeiliadaeth (Cymru)'!$D$8="Amcangyfrifon LlC",'Incwm (Cymru)'!F32,'Incwm (Cymru)'!X32)</f>
        <v>22224.713304144228</v>
      </c>
      <c r="AF32" s="4">
        <f>IF('Rhaniad y Ddeiliadaeth (Cymru)'!$D$8="Amcangyfrifon LlC",'Incwm (Cymru)'!G32,'Incwm (Cymru)'!Y32)</f>
        <v>22963.944477286612</v>
      </c>
      <c r="AG32" s="4">
        <f>IF('Rhaniad y Ddeiliadaeth (Cymru)'!$D$8="Amcangyfrifon LlC",'Incwm (Cymru)'!H32,'Incwm (Cymru)'!Z32)</f>
        <v>23749.860013150628</v>
      </c>
    </row>
    <row r="33" spans="2:33" x14ac:dyDescent="0.25">
      <c r="B33" s="20">
        <v>39</v>
      </c>
      <c r="C33" s="56">
        <v>21011.25</v>
      </c>
      <c r="D33" s="57">
        <f>C33*(1+'Rhaniad y Ddeiliadaeth (Cymru)'!C$109)+(C$44*(-(50-$B33)*('Rhaniad y Ddeiliadaeth (Cymru)'!C$110/40)))</f>
        <v>21683.542173622285</v>
      </c>
      <c r="E33" s="57">
        <f>D33*(1+'Rhaniad y Ddeiliadaeth (Cymru)'!D$109)+(D$44*(-(50-$B33)*('Rhaniad y Ddeiliadaeth (Cymru)'!D$110/40)))</f>
        <v>22167.508636461949</v>
      </c>
      <c r="F33" s="57">
        <f>E33*(1+'Rhaniad y Ddeiliadaeth (Cymru)'!E$109)+(E$44*(-(50-$B33)*('Rhaniad y Ddeiliadaeth (Cymru)'!E$110/40)))</f>
        <v>22819.235484992227</v>
      </c>
      <c r="G33" s="57">
        <f>F33*(1+'Rhaniad y Ddeiliadaeth (Cymru)'!F$109)+(F$44*(-(50-$B33)*('Rhaniad y Ddeiliadaeth (Cymru)'!F$110/40)))</f>
        <v>23587.597625717226</v>
      </c>
      <c r="H33" s="58">
        <f>G33*(1+'Rhaniad y Ddeiliadaeth (Cymru)'!G$109)+(G$44*(-(50-$B33)*('Rhaniad y Ddeiliadaeth (Cymru)'!G$110/40)))</f>
        <v>24404.596056940063</v>
      </c>
      <c r="L33" s="62" t="str">
        <f t="shared" si="0"/>
        <v/>
      </c>
      <c r="M33" s="227"/>
      <c r="N33" s="14">
        <f t="shared" si="3"/>
        <v>1</v>
      </c>
      <c r="T33" s="1">
        <f t="shared" si="1"/>
        <v>39</v>
      </c>
      <c r="U33" s="4" t="str">
        <f t="shared" si="2"/>
        <v/>
      </c>
      <c r="V33" s="4" t="e">
        <f>IF($V$3=$M$3,M33,U33*(1+'Rhaniad y Ddeiliadaeth (Cymru)'!C$109)+(U$44*(-(50-$T33)*('Rhaniad y Ddeiliadaeth (Cymru)'!C$110/40))))</f>
        <v>#VALUE!</v>
      </c>
      <c r="W33" s="4" t="e">
        <f>V33*(1+'Rhaniad y Ddeiliadaeth (Cymru)'!D$109)+(V$44*(-(50-$T33)*('Rhaniad y Ddeiliadaeth (Cymru)'!D$110/40)))</f>
        <v>#VALUE!</v>
      </c>
      <c r="X33" s="4" t="e">
        <f>W33*(1+'Rhaniad y Ddeiliadaeth (Cymru)'!E$109)+(W$44*(-(50-$T33)*('Rhaniad y Ddeiliadaeth (Cymru)'!E$110/40)))</f>
        <v>#VALUE!</v>
      </c>
      <c r="Y33" s="4" t="e">
        <f>X33*(1+'Rhaniad y Ddeiliadaeth (Cymru)'!F$109)+(X$44*(-(50-$T33)*('Rhaniad y Ddeiliadaeth (Cymru)'!F$110/40)))</f>
        <v>#VALUE!</v>
      </c>
      <c r="Z33" s="4" t="e">
        <f>Y33*(1+'Rhaniad y Ddeiliadaeth (Cymru)'!G$109)+(Y$44*(-(50-$T33)*('Rhaniad y Ddeiliadaeth (Cymru)'!G$110/40)))</f>
        <v>#VALUE!</v>
      </c>
      <c r="AB33">
        <v>39</v>
      </c>
      <c r="AC33" s="4">
        <f>IF('Rhaniad y Ddeiliadaeth (Cymru)'!$D$8="Amcangyfrifon LlC",'Incwm (Cymru)'!D33,'Incwm (Cymru)'!V33)</f>
        <v>21683.542173622285</v>
      </c>
      <c r="AD33" s="4">
        <f>IF('Rhaniad y Ddeiliadaeth (Cymru)'!$D$8="Amcangyfrifon LlC",'Incwm (Cymru)'!E33,'Incwm (Cymru)'!W33)</f>
        <v>22167.508636461949</v>
      </c>
      <c r="AE33" s="4">
        <f>IF('Rhaniad y Ddeiliadaeth (Cymru)'!$D$8="Amcangyfrifon LlC",'Incwm (Cymru)'!F33,'Incwm (Cymru)'!X33)</f>
        <v>22819.235484992227</v>
      </c>
      <c r="AF33" s="4">
        <f>IF('Rhaniad y Ddeiliadaeth (Cymru)'!$D$8="Amcangyfrifon LlC",'Incwm (Cymru)'!G33,'Incwm (Cymru)'!Y33)</f>
        <v>23587.597625717226</v>
      </c>
      <c r="AG33" s="4">
        <f>IF('Rhaniad y Ddeiliadaeth (Cymru)'!$D$8="Amcangyfrifon LlC",'Incwm (Cymru)'!H33,'Incwm (Cymru)'!Z33)</f>
        <v>24404.596056940063</v>
      </c>
    </row>
    <row r="34" spans="2:33" x14ac:dyDescent="0.25">
      <c r="B34" s="20">
        <v>40</v>
      </c>
      <c r="C34" s="56">
        <v>21350</v>
      </c>
      <c r="D34" s="57">
        <f>C34*(1+'Rhaniad y Ddeiliadaeth (Cymru)'!C$109)+(C$44*(-(50-$B34)*('Rhaniad y Ddeiliadaeth (Cymru)'!C$110/40)))</f>
        <v>22040.733567722273</v>
      </c>
      <c r="E34" s="57">
        <f>D34*(1+'Rhaniad y Ddeiliadaeth (Cymru)'!D$109)+(D$44*(-(50-$B34)*('Rhaniad y Ddeiliadaeth (Cymru)'!D$110/40)))</f>
        <v>22540.569603149077</v>
      </c>
      <c r="F34" s="57">
        <f>E34*(1+'Rhaniad y Ddeiliadaeth (Cymru)'!E$109)+(E$44*(-(50-$B34)*('Rhaniad y Ddeiliadaeth (Cymru)'!E$110/40)))</f>
        <v>23211.391628816586</v>
      </c>
      <c r="G34" s="57">
        <f>F34*(1+'Rhaniad y Ddeiliadaeth (Cymru)'!F$109)+(F$44*(-(50-$B34)*('Rhaniad y Ddeiliadaeth (Cymru)'!F$110/40)))</f>
        <v>24001.379820111735</v>
      </c>
      <c r="H34" s="58">
        <f>G34*(1+'Rhaniad y Ddeiliadaeth (Cymru)'!G$109)+(G$44*(-(50-$B34)*('Rhaniad y Ddeiliadaeth (Cymru)'!G$110/40)))</f>
        <v>24841.472991625902</v>
      </c>
      <c r="L34" s="62" t="str">
        <f t="shared" si="0"/>
        <v/>
      </c>
      <c r="M34" s="227"/>
      <c r="N34" s="14">
        <f t="shared" si="3"/>
        <v>1</v>
      </c>
      <c r="T34" s="1">
        <f t="shared" si="1"/>
        <v>40</v>
      </c>
      <c r="U34" s="4" t="str">
        <f t="shared" si="2"/>
        <v/>
      </c>
      <c r="V34" s="4" t="e">
        <f>IF($V$3=$M$3,M34,U34*(1+'Rhaniad y Ddeiliadaeth (Cymru)'!C$109)+(U$44*(-(50-$T34)*('Rhaniad y Ddeiliadaeth (Cymru)'!C$110/40))))</f>
        <v>#VALUE!</v>
      </c>
      <c r="W34" s="4" t="e">
        <f>V34*(1+'Rhaniad y Ddeiliadaeth (Cymru)'!D$109)+(V$44*(-(50-$T34)*('Rhaniad y Ddeiliadaeth (Cymru)'!D$110/40)))</f>
        <v>#VALUE!</v>
      </c>
      <c r="X34" s="4" t="e">
        <f>W34*(1+'Rhaniad y Ddeiliadaeth (Cymru)'!E$109)+(W$44*(-(50-$T34)*('Rhaniad y Ddeiliadaeth (Cymru)'!E$110/40)))</f>
        <v>#VALUE!</v>
      </c>
      <c r="Y34" s="4" t="e">
        <f>X34*(1+'Rhaniad y Ddeiliadaeth (Cymru)'!F$109)+(X$44*(-(50-$T34)*('Rhaniad y Ddeiliadaeth (Cymru)'!F$110/40)))</f>
        <v>#VALUE!</v>
      </c>
      <c r="Z34" s="4" t="e">
        <f>Y34*(1+'Rhaniad y Ddeiliadaeth (Cymru)'!G$109)+(Y$44*(-(50-$T34)*('Rhaniad y Ddeiliadaeth (Cymru)'!G$110/40)))</f>
        <v>#VALUE!</v>
      </c>
      <c r="AB34">
        <v>40</v>
      </c>
      <c r="AC34" s="4">
        <f>IF('Rhaniad y Ddeiliadaeth (Cymru)'!$D$8="Amcangyfrifon LlC",'Incwm (Cymru)'!D34,'Incwm (Cymru)'!V34)</f>
        <v>22040.733567722273</v>
      </c>
      <c r="AD34" s="4">
        <f>IF('Rhaniad y Ddeiliadaeth (Cymru)'!$D$8="Amcangyfrifon LlC",'Incwm (Cymru)'!E34,'Incwm (Cymru)'!W34)</f>
        <v>22540.569603149077</v>
      </c>
      <c r="AE34" s="4">
        <f>IF('Rhaniad y Ddeiliadaeth (Cymru)'!$D$8="Amcangyfrifon LlC",'Incwm (Cymru)'!F34,'Incwm (Cymru)'!X34)</f>
        <v>23211.391628816586</v>
      </c>
      <c r="AF34" s="4">
        <f>IF('Rhaniad y Ddeiliadaeth (Cymru)'!$D$8="Amcangyfrifon LlC",'Incwm (Cymru)'!G34,'Incwm (Cymru)'!Y34)</f>
        <v>24001.379820111735</v>
      </c>
      <c r="AG34" s="4">
        <f>IF('Rhaniad y Ddeiliadaeth (Cymru)'!$D$8="Amcangyfrifon LlC",'Incwm (Cymru)'!H34,'Incwm (Cymru)'!Z34)</f>
        <v>24841.472991625902</v>
      </c>
    </row>
    <row r="35" spans="2:33" x14ac:dyDescent="0.25">
      <c r="B35" s="20">
        <v>41</v>
      </c>
      <c r="C35" s="56">
        <v>21799</v>
      </c>
      <c r="D35" s="57">
        <f>C35*(1+'Rhaniad y Ddeiliadaeth (Cymru)'!C$109)+(C$44*(-(50-$B35)*('Rhaniad y Ddeiliadaeth (Cymru)'!C$110/40)))</f>
        <v>22512.075316055165</v>
      </c>
      <c r="E35" s="57">
        <f>D35*(1+'Rhaniad y Ddeiliadaeth (Cymru)'!D$109)+(D$44*(-(50-$B35)*('Rhaniad y Ddeiliadaeth (Cymru)'!D$110/40)))</f>
        <v>23030.715866026985</v>
      </c>
      <c r="F35" s="57">
        <f>E35*(1+'Rhaniad y Ddeiliadaeth (Cymru)'!E$109)+(E$44*(-(50-$B35)*('Rhaniad y Ddeiliadaeth (Cymru)'!E$110/40)))</f>
        <v>23724.473819155064</v>
      </c>
      <c r="G35" s="57">
        <f>F35*(1+'Rhaniad y Ddeiliadaeth (Cymru)'!F$109)+(F$44*(-(50-$B35)*('Rhaniad y Ddeiliadaeth (Cymru)'!F$110/40)))</f>
        <v>24540.572706552201</v>
      </c>
      <c r="H35" s="58">
        <f>G35*(1+'Rhaniad y Ddeiliadaeth (Cymru)'!G$109)+(G$44*(-(50-$B35)*('Rhaniad y Ddeiliadaeth (Cymru)'!G$110/40)))</f>
        <v>25408.534028093149</v>
      </c>
      <c r="L35" s="62" t="str">
        <f t="shared" si="0"/>
        <v/>
      </c>
      <c r="M35" s="227"/>
      <c r="N35" s="14">
        <f t="shared" si="3"/>
        <v>1</v>
      </c>
      <c r="T35" s="1">
        <f t="shared" si="1"/>
        <v>41</v>
      </c>
      <c r="U35" s="4" t="str">
        <f t="shared" si="2"/>
        <v/>
      </c>
      <c r="V35" s="4" t="e">
        <f>IF($V$3=$M$3,M35,U35*(1+'Rhaniad y Ddeiliadaeth (Cymru)'!C$109)+(U$44*(-(50-$T35)*('Rhaniad y Ddeiliadaeth (Cymru)'!C$110/40))))</f>
        <v>#VALUE!</v>
      </c>
      <c r="W35" s="4" t="e">
        <f>V35*(1+'Rhaniad y Ddeiliadaeth (Cymru)'!D$109)+(V$44*(-(50-$T35)*('Rhaniad y Ddeiliadaeth (Cymru)'!D$110/40)))</f>
        <v>#VALUE!</v>
      </c>
      <c r="X35" s="4" t="e">
        <f>W35*(1+'Rhaniad y Ddeiliadaeth (Cymru)'!E$109)+(W$44*(-(50-$T35)*('Rhaniad y Ddeiliadaeth (Cymru)'!E$110/40)))</f>
        <v>#VALUE!</v>
      </c>
      <c r="Y35" s="4" t="e">
        <f>X35*(1+'Rhaniad y Ddeiliadaeth (Cymru)'!F$109)+(X$44*(-(50-$T35)*('Rhaniad y Ddeiliadaeth (Cymru)'!F$110/40)))</f>
        <v>#VALUE!</v>
      </c>
      <c r="Z35" s="4" t="e">
        <f>Y35*(1+'Rhaniad y Ddeiliadaeth (Cymru)'!G$109)+(Y$44*(-(50-$T35)*('Rhaniad y Ddeiliadaeth (Cymru)'!G$110/40)))</f>
        <v>#VALUE!</v>
      </c>
      <c r="AB35">
        <v>41</v>
      </c>
      <c r="AC35" s="4">
        <f>IF('Rhaniad y Ddeiliadaeth (Cymru)'!$D$8="Amcangyfrifon LlC",'Incwm (Cymru)'!D35,'Incwm (Cymru)'!V35)</f>
        <v>22512.075316055165</v>
      </c>
      <c r="AD35" s="4">
        <f>IF('Rhaniad y Ddeiliadaeth (Cymru)'!$D$8="Amcangyfrifon LlC",'Incwm (Cymru)'!E35,'Incwm (Cymru)'!W35)</f>
        <v>23030.715866026985</v>
      </c>
      <c r="AE35" s="4">
        <f>IF('Rhaniad y Ddeiliadaeth (Cymru)'!$D$8="Amcangyfrifon LlC",'Incwm (Cymru)'!F35,'Incwm (Cymru)'!X35)</f>
        <v>23724.473819155064</v>
      </c>
      <c r="AF35" s="4">
        <f>IF('Rhaniad y Ddeiliadaeth (Cymru)'!$D$8="Amcangyfrifon LlC",'Incwm (Cymru)'!G35,'Incwm (Cymru)'!Y35)</f>
        <v>24540.572706552201</v>
      </c>
      <c r="AG35" s="4">
        <f>IF('Rhaniad y Ddeiliadaeth (Cymru)'!$D$8="Amcangyfrifon LlC",'Incwm (Cymru)'!H35,'Incwm (Cymru)'!Z35)</f>
        <v>25408.534028093149</v>
      </c>
    </row>
    <row r="36" spans="2:33" x14ac:dyDescent="0.25">
      <c r="B36" s="20">
        <v>42</v>
      </c>
      <c r="C36" s="56">
        <v>22199.5</v>
      </c>
      <c r="D36" s="57">
        <f>C36*(1+'Rhaniad y Ddeiliadaeth (Cymru)'!C$109)+(C$44*(-(50-$B36)*('Rhaniad y Ddeiliadaeth (Cymru)'!C$110/40)))</f>
        <v>22933.201262299204</v>
      </c>
      <c r="E36" s="57">
        <f>D36*(1+'Rhaniad y Ddeiliadaeth (Cymru)'!D$109)+(D$44*(-(50-$B36)*('Rhaniad y Ddeiliadaeth (Cymru)'!D$110/40)))</f>
        <v>23469.355218562465</v>
      </c>
      <c r="F36" s="57">
        <f>E36*(1+'Rhaniad y Ddeiliadaeth (Cymru)'!E$109)+(E$44*(-(50-$B36)*('Rhaniad y Ddeiliadaeth (Cymru)'!E$110/40)))</f>
        <v>24184.359517376219</v>
      </c>
      <c r="G36" s="57">
        <f>F36*(1+'Rhaniad y Ddeiliadaeth (Cymru)'!F$109)+(F$44*(-(50-$B36)*('Rhaniad y Ddeiliadaeth (Cymru)'!F$110/40)))</f>
        <v>25024.596263611904</v>
      </c>
      <c r="H36" s="58">
        <f>G36*(1+'Rhaniad y Ddeiliadaeth (Cymru)'!G$109)+(G$44*(-(50-$B36)*('Rhaniad y Ddeiliadaeth (Cymru)'!G$110/40)))</f>
        <v>25918.32586785837</v>
      </c>
      <c r="L36" s="62" t="str">
        <f t="shared" ref="L36:L67" si="4">IF(ISBLANK($K$4),"",B36)</f>
        <v/>
      </c>
      <c r="M36" s="227"/>
      <c r="N36" s="14">
        <f t="shared" si="3"/>
        <v>1</v>
      </c>
      <c r="T36" s="1">
        <f t="shared" ref="T36:T67" si="5">B36</f>
        <v>42</v>
      </c>
      <c r="U36" s="4" t="str">
        <f t="shared" ref="U36:U67" si="6">IF($M$3=$U$3,M36,"")</f>
        <v/>
      </c>
      <c r="V36" s="4" t="e">
        <f>IF($V$3=$M$3,M36,U36*(1+'Rhaniad y Ddeiliadaeth (Cymru)'!C$109)+(U$44*(-(50-$T36)*('Rhaniad y Ddeiliadaeth (Cymru)'!C$110/40))))</f>
        <v>#VALUE!</v>
      </c>
      <c r="W36" s="4" t="e">
        <f>V36*(1+'Rhaniad y Ddeiliadaeth (Cymru)'!D$109)+(V$44*(-(50-$T36)*('Rhaniad y Ddeiliadaeth (Cymru)'!D$110/40)))</f>
        <v>#VALUE!</v>
      </c>
      <c r="X36" s="4" t="e">
        <f>W36*(1+'Rhaniad y Ddeiliadaeth (Cymru)'!E$109)+(W$44*(-(50-$T36)*('Rhaniad y Ddeiliadaeth (Cymru)'!E$110/40)))</f>
        <v>#VALUE!</v>
      </c>
      <c r="Y36" s="4" t="e">
        <f>X36*(1+'Rhaniad y Ddeiliadaeth (Cymru)'!F$109)+(X$44*(-(50-$T36)*('Rhaniad y Ddeiliadaeth (Cymru)'!F$110/40)))</f>
        <v>#VALUE!</v>
      </c>
      <c r="Z36" s="4" t="e">
        <f>Y36*(1+'Rhaniad y Ddeiliadaeth (Cymru)'!G$109)+(Y$44*(-(50-$T36)*('Rhaniad y Ddeiliadaeth (Cymru)'!G$110/40)))</f>
        <v>#VALUE!</v>
      </c>
      <c r="AB36">
        <v>42</v>
      </c>
      <c r="AC36" s="4">
        <f>IF('Rhaniad y Ddeiliadaeth (Cymru)'!$D$8="Amcangyfrifon LlC",'Incwm (Cymru)'!D36,'Incwm (Cymru)'!V36)</f>
        <v>22933.201262299204</v>
      </c>
      <c r="AD36" s="4">
        <f>IF('Rhaniad y Ddeiliadaeth (Cymru)'!$D$8="Amcangyfrifon LlC",'Incwm (Cymru)'!E36,'Incwm (Cymru)'!W36)</f>
        <v>23469.355218562465</v>
      </c>
      <c r="AE36" s="4">
        <f>IF('Rhaniad y Ddeiliadaeth (Cymru)'!$D$8="Amcangyfrifon LlC",'Incwm (Cymru)'!F36,'Incwm (Cymru)'!X36)</f>
        <v>24184.359517376219</v>
      </c>
      <c r="AF36" s="4">
        <f>IF('Rhaniad y Ddeiliadaeth (Cymru)'!$D$8="Amcangyfrifon LlC",'Incwm (Cymru)'!G36,'Incwm (Cymru)'!Y36)</f>
        <v>25024.596263611904</v>
      </c>
      <c r="AG36" s="4">
        <f>IF('Rhaniad y Ddeiliadaeth (Cymru)'!$D$8="Amcangyfrifon LlC",'Incwm (Cymru)'!H36,'Incwm (Cymru)'!Z36)</f>
        <v>25918.32586785837</v>
      </c>
    </row>
    <row r="37" spans="2:33" x14ac:dyDescent="0.25">
      <c r="B37" s="20">
        <v>43</v>
      </c>
      <c r="C37" s="56">
        <v>22742</v>
      </c>
      <c r="D37" s="57">
        <f>C37*(1+'Rhaniad y Ddeiliadaeth (Cymru)'!C$109)+(C$44*(-(50-$B37)*('Rhaniad y Ddeiliadaeth (Cymru)'!C$110/40)))</f>
        <v>23501.350794040511</v>
      </c>
      <c r="E37" s="57">
        <f>D37*(1+'Rhaniad y Ddeiliadaeth (Cymru)'!D$109)+(D$44*(-(50-$B37)*('Rhaniad y Ddeiliadaeth (Cymru)'!D$110/40)))</f>
        <v>24058.798308595386</v>
      </c>
      <c r="F37" s="57">
        <f>E37*(1+'Rhaniad y Ddeiliadaeth (Cymru)'!E$109)+(E$44*(-(50-$B37)*('Rhaniad y Ddeiliadaeth (Cymru)'!E$110/40)))</f>
        <v>24799.995769837806</v>
      </c>
      <c r="G37" s="57">
        <f>F37*(1+'Rhaniad y Ddeiliadaeth (Cymru)'!F$109)+(F$44*(-(50-$B37)*('Rhaniad y Ddeiliadaeth (Cymru)'!F$110/40)))</f>
        <v>25670.146517002937</v>
      </c>
      <c r="H37" s="58">
        <f>G37*(1+'Rhaniad y Ddeiliadaeth (Cymru)'!G$109)+(G$44*(-(50-$B37)*('Rhaniad y Ddeiliadaeth (Cymru)'!G$110/40)))</f>
        <v>26595.792469101711</v>
      </c>
      <c r="L37" s="62" t="str">
        <f t="shared" si="4"/>
        <v/>
      </c>
      <c r="M37" s="227"/>
      <c r="N37" s="14">
        <f t="shared" si="3"/>
        <v>1</v>
      </c>
      <c r="T37" s="1">
        <f t="shared" si="5"/>
        <v>43</v>
      </c>
      <c r="U37" s="4" t="str">
        <f t="shared" si="6"/>
        <v/>
      </c>
      <c r="V37" s="4" t="e">
        <f>IF($V$3=$M$3,M37,U37*(1+'Rhaniad y Ddeiliadaeth (Cymru)'!C$109)+(U$44*(-(50-$T37)*('Rhaniad y Ddeiliadaeth (Cymru)'!C$110/40))))</f>
        <v>#VALUE!</v>
      </c>
      <c r="W37" s="4" t="e">
        <f>V37*(1+'Rhaniad y Ddeiliadaeth (Cymru)'!D$109)+(V$44*(-(50-$T37)*('Rhaniad y Ddeiliadaeth (Cymru)'!D$110/40)))</f>
        <v>#VALUE!</v>
      </c>
      <c r="X37" s="4" t="e">
        <f>W37*(1+'Rhaniad y Ddeiliadaeth (Cymru)'!E$109)+(W$44*(-(50-$T37)*('Rhaniad y Ddeiliadaeth (Cymru)'!E$110/40)))</f>
        <v>#VALUE!</v>
      </c>
      <c r="Y37" s="4" t="e">
        <f>X37*(1+'Rhaniad y Ddeiliadaeth (Cymru)'!F$109)+(X$44*(-(50-$T37)*('Rhaniad y Ddeiliadaeth (Cymru)'!F$110/40)))</f>
        <v>#VALUE!</v>
      </c>
      <c r="Z37" s="4" t="e">
        <f>Y37*(1+'Rhaniad y Ddeiliadaeth (Cymru)'!G$109)+(Y$44*(-(50-$T37)*('Rhaniad y Ddeiliadaeth (Cymru)'!G$110/40)))</f>
        <v>#VALUE!</v>
      </c>
      <c r="AB37">
        <v>43</v>
      </c>
      <c r="AC37" s="4">
        <f>IF('Rhaniad y Ddeiliadaeth (Cymru)'!$D$8="Amcangyfrifon LlC",'Incwm (Cymru)'!D37,'Incwm (Cymru)'!V37)</f>
        <v>23501.350794040511</v>
      </c>
      <c r="AD37" s="4">
        <f>IF('Rhaniad y Ddeiliadaeth (Cymru)'!$D$8="Amcangyfrifon LlC",'Incwm (Cymru)'!E37,'Incwm (Cymru)'!W37)</f>
        <v>24058.798308595386</v>
      </c>
      <c r="AE37" s="4">
        <f>IF('Rhaniad y Ddeiliadaeth (Cymru)'!$D$8="Amcangyfrifon LlC",'Incwm (Cymru)'!F37,'Incwm (Cymru)'!X37)</f>
        <v>24799.995769837806</v>
      </c>
      <c r="AF37" s="4">
        <f>IF('Rhaniad y Ddeiliadaeth (Cymru)'!$D$8="Amcangyfrifon LlC",'Incwm (Cymru)'!G37,'Incwm (Cymru)'!Y37)</f>
        <v>25670.146517002937</v>
      </c>
      <c r="AG37" s="4">
        <f>IF('Rhaniad y Ddeiliadaeth (Cymru)'!$D$8="Amcangyfrifon LlC",'Incwm (Cymru)'!H37,'Incwm (Cymru)'!Z37)</f>
        <v>26595.792469101711</v>
      </c>
    </row>
    <row r="38" spans="2:33" x14ac:dyDescent="0.25">
      <c r="B38" s="20">
        <v>44</v>
      </c>
      <c r="C38" s="56">
        <v>23187.5</v>
      </c>
      <c r="D38" s="57">
        <f>C38*(1+'Rhaniad y Ddeiliadaeth (Cymru)'!C$109)+(C$44*(-(50-$B38)*('Rhaniad y Ddeiliadaeth (Cymru)'!C$110/40)))</f>
        <v>23969.068721604104</v>
      </c>
      <c r="E38" s="57">
        <f>D38*(1+'Rhaniad y Ddeiliadaeth (Cymru)'!D$109)+(D$44*(-(50-$B38)*('Rhaniad y Ddeiliadaeth (Cymru)'!D$110/40)))</f>
        <v>24545.227577943431</v>
      </c>
      <c r="F38" s="57">
        <f>E38*(1+'Rhaniad y Ddeiliadaeth (Cymru)'!E$109)+(E$44*(-(50-$B38)*('Rhaniad y Ddeiliadaeth (Cymru)'!E$110/40)))</f>
        <v>25309.239038064727</v>
      </c>
      <c r="G38" s="57">
        <f>F38*(1+'Rhaniad y Ddeiliadaeth (Cymru)'!F$109)+(F$44*(-(50-$B38)*('Rhaniad y Ddeiliadaeth (Cymru)'!F$110/40)))</f>
        <v>26205.358111632424</v>
      </c>
      <c r="H38" s="58">
        <f>G38*(1+'Rhaniad y Ddeiliadaeth (Cymru)'!G$109)+(G$44*(-(50-$B38)*('Rhaniad y Ddeiliadaeth (Cymru)'!G$110/40)))</f>
        <v>27158.720676940979</v>
      </c>
      <c r="L38" s="62" t="str">
        <f t="shared" si="4"/>
        <v/>
      </c>
      <c r="M38" s="227"/>
      <c r="N38" s="14">
        <f t="shared" si="3"/>
        <v>1</v>
      </c>
      <c r="T38" s="1">
        <f t="shared" si="5"/>
        <v>44</v>
      </c>
      <c r="U38" s="4" t="str">
        <f t="shared" si="6"/>
        <v/>
      </c>
      <c r="V38" s="4" t="e">
        <f>IF($V$3=$M$3,M38,U38*(1+'Rhaniad y Ddeiliadaeth (Cymru)'!C$109)+(U$44*(-(50-$T38)*('Rhaniad y Ddeiliadaeth (Cymru)'!C$110/40))))</f>
        <v>#VALUE!</v>
      </c>
      <c r="W38" s="4" t="e">
        <f>V38*(1+'Rhaniad y Ddeiliadaeth (Cymru)'!D$109)+(V$44*(-(50-$T38)*('Rhaniad y Ddeiliadaeth (Cymru)'!D$110/40)))</f>
        <v>#VALUE!</v>
      </c>
      <c r="X38" s="4" t="e">
        <f>W38*(1+'Rhaniad y Ddeiliadaeth (Cymru)'!E$109)+(W$44*(-(50-$T38)*('Rhaniad y Ddeiliadaeth (Cymru)'!E$110/40)))</f>
        <v>#VALUE!</v>
      </c>
      <c r="Y38" s="4" t="e">
        <f>X38*(1+'Rhaniad y Ddeiliadaeth (Cymru)'!F$109)+(X$44*(-(50-$T38)*('Rhaniad y Ddeiliadaeth (Cymru)'!F$110/40)))</f>
        <v>#VALUE!</v>
      </c>
      <c r="Z38" s="4" t="e">
        <f>Y38*(1+'Rhaniad y Ddeiliadaeth (Cymru)'!G$109)+(Y$44*(-(50-$T38)*('Rhaniad y Ddeiliadaeth (Cymru)'!G$110/40)))</f>
        <v>#VALUE!</v>
      </c>
      <c r="AB38">
        <v>44</v>
      </c>
      <c r="AC38" s="4">
        <f>IF('Rhaniad y Ddeiliadaeth (Cymru)'!$D$8="Amcangyfrifon LlC",'Incwm (Cymru)'!D38,'Incwm (Cymru)'!V38)</f>
        <v>23969.068721604104</v>
      </c>
      <c r="AD38" s="4">
        <f>IF('Rhaniad y Ddeiliadaeth (Cymru)'!$D$8="Amcangyfrifon LlC",'Incwm (Cymru)'!E38,'Incwm (Cymru)'!W38)</f>
        <v>24545.227577943431</v>
      </c>
      <c r="AE38" s="4">
        <f>IF('Rhaniad y Ddeiliadaeth (Cymru)'!$D$8="Amcangyfrifon LlC",'Incwm (Cymru)'!F38,'Incwm (Cymru)'!X38)</f>
        <v>25309.239038064727</v>
      </c>
      <c r="AF38" s="4">
        <f>IF('Rhaniad y Ddeiliadaeth (Cymru)'!$D$8="Amcangyfrifon LlC",'Incwm (Cymru)'!G38,'Incwm (Cymru)'!Y38)</f>
        <v>26205.358111632424</v>
      </c>
      <c r="AG38" s="4">
        <f>IF('Rhaniad y Ddeiliadaeth (Cymru)'!$D$8="Amcangyfrifon LlC",'Incwm (Cymru)'!H38,'Incwm (Cymru)'!Z38)</f>
        <v>27158.720676940979</v>
      </c>
    </row>
    <row r="39" spans="2:33" x14ac:dyDescent="0.25">
      <c r="B39" s="20">
        <v>45</v>
      </c>
      <c r="C39" s="56">
        <v>23785</v>
      </c>
      <c r="D39" s="57">
        <f>C39*(1+'Rhaniad y Ddeiliadaeth (Cymru)'!C$109)+(C$44*(-(50-$B39)*('Rhaniad y Ddeiliadaeth (Cymru)'!C$110/40)))</f>
        <v>24594.164008291529</v>
      </c>
      <c r="E39" s="57">
        <f>D39*(1+'Rhaniad y Ddeiliadaeth (Cymru)'!D$109)+(D$44*(-(50-$B39)*('Rhaniad y Ddeiliadaeth (Cymru)'!D$110/40)))</f>
        <v>25193.080566302819</v>
      </c>
      <c r="F39" s="57">
        <f>E39*(1+'Rhaniad y Ddeiliadaeth (Cymru)'!E$109)+(E$44*(-(50-$B39)*('Rhaniad y Ddeiliadaeth (Cymru)'!E$110/40)))</f>
        <v>25985.201209422245</v>
      </c>
      <c r="G39" s="57">
        <f>F39*(1+'Rhaniad y Ddeiliadaeth (Cymru)'!F$109)+(F$44*(-(50-$B39)*('Rhaniad y Ddeiliadaeth (Cymru)'!F$110/40)))</f>
        <v>26913.47152205318</v>
      </c>
      <c r="H39" s="58">
        <f>G39*(1+'Rhaniad y Ddeiliadaeth (Cymru)'!G$109)+(G$44*(-(50-$B39)*('Rhaniad y Ddeiliadaeth (Cymru)'!G$110/40)))</f>
        <v>27901.131728052587</v>
      </c>
      <c r="L39" s="62" t="str">
        <f t="shared" si="4"/>
        <v/>
      </c>
      <c r="M39" s="227"/>
      <c r="N39" s="14">
        <f t="shared" si="3"/>
        <v>1</v>
      </c>
      <c r="T39" s="1">
        <f t="shared" si="5"/>
        <v>45</v>
      </c>
      <c r="U39" s="4" t="str">
        <f t="shared" si="6"/>
        <v/>
      </c>
      <c r="V39" s="4" t="e">
        <f>IF($V$3=$M$3,M39,U39*(1+'Rhaniad y Ddeiliadaeth (Cymru)'!C$109)+(U$44*(-(50-$T39)*('Rhaniad y Ddeiliadaeth (Cymru)'!C$110/40))))</f>
        <v>#VALUE!</v>
      </c>
      <c r="W39" s="4" t="e">
        <f>V39*(1+'Rhaniad y Ddeiliadaeth (Cymru)'!D$109)+(V$44*(-(50-$T39)*('Rhaniad y Ddeiliadaeth (Cymru)'!D$110/40)))</f>
        <v>#VALUE!</v>
      </c>
      <c r="X39" s="4" t="e">
        <f>W39*(1+'Rhaniad y Ddeiliadaeth (Cymru)'!E$109)+(W$44*(-(50-$T39)*('Rhaniad y Ddeiliadaeth (Cymru)'!E$110/40)))</f>
        <v>#VALUE!</v>
      </c>
      <c r="Y39" s="4" t="e">
        <f>X39*(1+'Rhaniad y Ddeiliadaeth (Cymru)'!F$109)+(X$44*(-(50-$T39)*('Rhaniad y Ddeiliadaeth (Cymru)'!F$110/40)))</f>
        <v>#VALUE!</v>
      </c>
      <c r="Z39" s="4" t="e">
        <f>Y39*(1+'Rhaniad y Ddeiliadaeth (Cymru)'!G$109)+(Y$44*(-(50-$T39)*('Rhaniad y Ddeiliadaeth (Cymru)'!G$110/40)))</f>
        <v>#VALUE!</v>
      </c>
      <c r="AB39">
        <v>45</v>
      </c>
      <c r="AC39" s="4">
        <f>IF('Rhaniad y Ddeiliadaeth (Cymru)'!$D$8="Amcangyfrifon LlC",'Incwm (Cymru)'!D39,'Incwm (Cymru)'!V39)</f>
        <v>24594.164008291529</v>
      </c>
      <c r="AD39" s="4">
        <f>IF('Rhaniad y Ddeiliadaeth (Cymru)'!$D$8="Amcangyfrifon LlC",'Incwm (Cymru)'!E39,'Incwm (Cymru)'!W39)</f>
        <v>25193.080566302819</v>
      </c>
      <c r="AE39" s="4">
        <f>IF('Rhaniad y Ddeiliadaeth (Cymru)'!$D$8="Amcangyfrifon LlC",'Incwm (Cymru)'!F39,'Incwm (Cymru)'!X39)</f>
        <v>25985.201209422245</v>
      </c>
      <c r="AF39" s="4">
        <f>IF('Rhaniad y Ddeiliadaeth (Cymru)'!$D$8="Amcangyfrifon LlC",'Incwm (Cymru)'!G39,'Incwm (Cymru)'!Y39)</f>
        <v>26913.47152205318</v>
      </c>
      <c r="AG39" s="4">
        <f>IF('Rhaniad y Ddeiliadaeth (Cymru)'!$D$8="Amcangyfrifon LlC",'Incwm (Cymru)'!H39,'Incwm (Cymru)'!Z39)</f>
        <v>27901.131728052587</v>
      </c>
    </row>
    <row r="40" spans="2:33" x14ac:dyDescent="0.25">
      <c r="B40" s="20">
        <v>46</v>
      </c>
      <c r="C40" s="56">
        <v>24290.5</v>
      </c>
      <c r="D40" s="57">
        <f>C40*(1+'Rhaniad y Ddeiliadaeth (Cymru)'!C$109)+(C$44*(-(50-$B40)*('Rhaniad y Ddeiliadaeth (Cymru)'!C$110/40)))</f>
        <v>25124.004577614534</v>
      </c>
      <c r="E40" s="57">
        <f>D40*(1+'Rhaniad y Ddeiliadaeth (Cymru)'!D$109)+(D$44*(-(50-$B40)*('Rhaniad y Ddeiliadaeth (Cymru)'!D$110/40)))</f>
        <v>25743.229724734294</v>
      </c>
      <c r="F40" s="57">
        <f>E40*(1+'Rhaniad y Ddeiliadaeth (Cymru)'!E$109)+(E$44*(-(50-$B40)*('Rhaniad y Ddeiliadaeth (Cymru)'!E$110/40)))</f>
        <v>26560.254570990197</v>
      </c>
      <c r="G40" s="57">
        <f>F40*(1+'Rhaniad y Ddeiliadaeth (Cymru)'!F$109)+(F$44*(-(50-$B40)*('Rhaniad y Ddeiliadaeth (Cymru)'!F$110/40)))</f>
        <v>27516.933833442388</v>
      </c>
      <c r="H40" s="58">
        <f>G40*(1+'Rhaniad y Ddeiliadaeth (Cymru)'!G$109)+(G$44*(-(50-$B40)*('Rhaniad y Ddeiliadaeth (Cymru)'!G$110/40)))</f>
        <v>28534.908426657264</v>
      </c>
      <c r="L40" s="62" t="str">
        <f t="shared" si="4"/>
        <v/>
      </c>
      <c r="M40" s="227"/>
      <c r="N40" s="14">
        <f t="shared" si="3"/>
        <v>1</v>
      </c>
      <c r="T40" s="1">
        <f t="shared" si="5"/>
        <v>46</v>
      </c>
      <c r="U40" s="4" t="str">
        <f t="shared" si="6"/>
        <v/>
      </c>
      <c r="V40" s="4" t="e">
        <f>IF($V$3=$M$3,M40,U40*(1+'Rhaniad y Ddeiliadaeth (Cymru)'!C$109)+(U$44*(-(50-$T40)*('Rhaniad y Ddeiliadaeth (Cymru)'!C$110/40))))</f>
        <v>#VALUE!</v>
      </c>
      <c r="W40" s="4" t="e">
        <f>V40*(1+'Rhaniad y Ddeiliadaeth (Cymru)'!D$109)+(V$44*(-(50-$T40)*('Rhaniad y Ddeiliadaeth (Cymru)'!D$110/40)))</f>
        <v>#VALUE!</v>
      </c>
      <c r="X40" s="4" t="e">
        <f>W40*(1+'Rhaniad y Ddeiliadaeth (Cymru)'!E$109)+(W$44*(-(50-$T40)*('Rhaniad y Ddeiliadaeth (Cymru)'!E$110/40)))</f>
        <v>#VALUE!</v>
      </c>
      <c r="Y40" s="4" t="e">
        <f>X40*(1+'Rhaniad y Ddeiliadaeth (Cymru)'!F$109)+(X$44*(-(50-$T40)*('Rhaniad y Ddeiliadaeth (Cymru)'!F$110/40)))</f>
        <v>#VALUE!</v>
      </c>
      <c r="Z40" s="4" t="e">
        <f>Y40*(1+'Rhaniad y Ddeiliadaeth (Cymru)'!G$109)+(Y$44*(-(50-$T40)*('Rhaniad y Ddeiliadaeth (Cymru)'!G$110/40)))</f>
        <v>#VALUE!</v>
      </c>
      <c r="AB40">
        <v>46</v>
      </c>
      <c r="AC40" s="4">
        <f>IF('Rhaniad y Ddeiliadaeth (Cymru)'!$D$8="Amcangyfrifon LlC",'Incwm (Cymru)'!D40,'Incwm (Cymru)'!V40)</f>
        <v>25124.004577614534</v>
      </c>
      <c r="AD40" s="4">
        <f>IF('Rhaniad y Ddeiliadaeth (Cymru)'!$D$8="Amcangyfrifon LlC",'Incwm (Cymru)'!E40,'Incwm (Cymru)'!W40)</f>
        <v>25743.229724734294</v>
      </c>
      <c r="AE40" s="4">
        <f>IF('Rhaniad y Ddeiliadaeth (Cymru)'!$D$8="Amcangyfrifon LlC",'Incwm (Cymru)'!F40,'Incwm (Cymru)'!X40)</f>
        <v>26560.254570990197</v>
      </c>
      <c r="AF40" s="4">
        <f>IF('Rhaniad y Ddeiliadaeth (Cymru)'!$D$8="Amcangyfrifon LlC",'Incwm (Cymru)'!G40,'Incwm (Cymru)'!Y40)</f>
        <v>27516.933833442388</v>
      </c>
      <c r="AG40" s="4">
        <f>IF('Rhaniad y Ddeiliadaeth (Cymru)'!$D$8="Amcangyfrifon LlC",'Incwm (Cymru)'!H40,'Incwm (Cymru)'!Z40)</f>
        <v>28534.908426657264</v>
      </c>
    </row>
    <row r="41" spans="2:33" x14ac:dyDescent="0.25">
      <c r="B41" s="20">
        <v>47</v>
      </c>
      <c r="C41" s="56">
        <v>24789.25</v>
      </c>
      <c r="D41" s="57">
        <f>C41*(1+'Rhaniad y Ddeiliadaeth (Cymru)'!C$109)+(C$44*(-(50-$B41)*('Rhaniad y Ddeiliadaeth (Cymru)'!C$110/40)))</f>
        <v>25646.856349739603</v>
      </c>
      <c r="E41" s="57">
        <f>D41*(1+'Rhaniad y Ddeiliadaeth (Cymru)'!D$109)+(D$44*(-(50-$B41)*('Rhaniad y Ddeiliadaeth (Cymru)'!D$110/40)))</f>
        <v>26286.21039564388</v>
      </c>
      <c r="F41" s="57">
        <f>E41*(1+'Rhaniad y Ddeiliadaeth (Cymru)'!E$109)+(E$44*(-(50-$B41)*('Rhaniad y Ddeiliadaeth (Cymru)'!E$110/40)))</f>
        <v>27127.904297057281</v>
      </c>
      <c r="G41" s="57">
        <f>F41*(1+'Rhaniad y Ddeiliadaeth (Cymru)'!F$109)+(F$44*(-(50-$B41)*('Rhaniad y Ddeiliadaeth (Cymru)'!F$110/40)))</f>
        <v>28112.717939196122</v>
      </c>
      <c r="H41" s="58">
        <f>G41*(1+'Rhaniad y Ddeiliadaeth (Cymru)'!G$109)+(G$44*(-(50-$B41)*('Rhaniad y Ddeiliadaeth (Cymru)'!G$110/40)))</f>
        <v>29160.714670050827</v>
      </c>
      <c r="L41" s="62" t="str">
        <f t="shared" si="4"/>
        <v/>
      </c>
      <c r="M41" s="227"/>
      <c r="N41" s="14">
        <f t="shared" si="3"/>
        <v>1</v>
      </c>
      <c r="T41" s="1">
        <f t="shared" si="5"/>
        <v>47</v>
      </c>
      <c r="U41" s="4" t="str">
        <f t="shared" si="6"/>
        <v/>
      </c>
      <c r="V41" s="4" t="e">
        <f>IF($V$3=$M$3,M41,U41*(1+'Rhaniad y Ddeiliadaeth (Cymru)'!C$109)+(U$44*(-(50-$T41)*('Rhaniad y Ddeiliadaeth (Cymru)'!C$110/40))))</f>
        <v>#VALUE!</v>
      </c>
      <c r="W41" s="4" t="e">
        <f>V41*(1+'Rhaniad y Ddeiliadaeth (Cymru)'!D$109)+(V$44*(-(50-$T41)*('Rhaniad y Ddeiliadaeth (Cymru)'!D$110/40)))</f>
        <v>#VALUE!</v>
      </c>
      <c r="X41" s="4" t="e">
        <f>W41*(1+'Rhaniad y Ddeiliadaeth (Cymru)'!E$109)+(W$44*(-(50-$T41)*('Rhaniad y Ddeiliadaeth (Cymru)'!E$110/40)))</f>
        <v>#VALUE!</v>
      </c>
      <c r="Y41" s="4" t="e">
        <f>X41*(1+'Rhaniad y Ddeiliadaeth (Cymru)'!F$109)+(X$44*(-(50-$T41)*('Rhaniad y Ddeiliadaeth (Cymru)'!F$110/40)))</f>
        <v>#VALUE!</v>
      </c>
      <c r="Z41" s="4" t="e">
        <f>Y41*(1+'Rhaniad y Ddeiliadaeth (Cymru)'!G$109)+(Y$44*(-(50-$T41)*('Rhaniad y Ddeiliadaeth (Cymru)'!G$110/40)))</f>
        <v>#VALUE!</v>
      </c>
      <c r="AB41">
        <v>47</v>
      </c>
      <c r="AC41" s="4">
        <f>IF('Rhaniad y Ddeiliadaeth (Cymru)'!$D$8="Amcangyfrifon LlC",'Incwm (Cymru)'!D41,'Incwm (Cymru)'!V41)</f>
        <v>25646.856349739603</v>
      </c>
      <c r="AD41" s="4">
        <f>IF('Rhaniad y Ddeiliadaeth (Cymru)'!$D$8="Amcangyfrifon LlC",'Incwm (Cymru)'!E41,'Incwm (Cymru)'!W41)</f>
        <v>26286.21039564388</v>
      </c>
      <c r="AE41" s="4">
        <f>IF('Rhaniad y Ddeiliadaeth (Cymru)'!$D$8="Amcangyfrifon LlC",'Incwm (Cymru)'!F41,'Incwm (Cymru)'!X41)</f>
        <v>27127.904297057281</v>
      </c>
      <c r="AF41" s="4">
        <f>IF('Rhaniad y Ddeiliadaeth (Cymru)'!$D$8="Amcangyfrifon LlC",'Incwm (Cymru)'!G41,'Incwm (Cymru)'!Y41)</f>
        <v>28112.717939196122</v>
      </c>
      <c r="AG41" s="4">
        <f>IF('Rhaniad y Ddeiliadaeth (Cymru)'!$D$8="Amcangyfrifon LlC",'Incwm (Cymru)'!H41,'Incwm (Cymru)'!Z41)</f>
        <v>29160.714670050827</v>
      </c>
    </row>
    <row r="42" spans="2:33" x14ac:dyDescent="0.25">
      <c r="B42" s="20">
        <v>48</v>
      </c>
      <c r="C42" s="56">
        <v>24958</v>
      </c>
      <c r="D42" s="57">
        <f>C42*(1+'Rhaniad y Ddeiliadaeth (Cymru)'!C$109)+(C$44*(-(50-$B42)*('Rhaniad y Ddeiliadaeth (Cymru)'!C$110/40)))</f>
        <v>25828.033592187934</v>
      </c>
      <c r="E42" s="57">
        <f>D42*(1+'Rhaniad y Ddeiliadaeth (Cymru)'!D$109)+(D$44*(-(50-$B42)*('Rhaniad y Ddeiliadaeth (Cymru)'!D$110/40)))</f>
        <v>26478.731676594631</v>
      </c>
      <c r="F42" s="57">
        <f>E42*(1+'Rhaniad y Ddeiliadaeth (Cymru)'!E$109)+(E$44*(-(50-$B42)*('Rhaniad y Ddeiliadaeth (Cymru)'!E$110/40)))</f>
        <v>27333.598509748725</v>
      </c>
      <c r="G42" s="57">
        <f>F42*(1+'Rhaniad y Ddeiliadaeth (Cymru)'!F$109)+(F$44*(-(50-$B42)*('Rhaniad y Ddeiliadaeth (Cymru)'!F$110/40)))</f>
        <v>28333.123102771435</v>
      </c>
      <c r="H42" s="58">
        <f>G42*(1+'Rhaniad y Ddeiliadaeth (Cymru)'!G$109)+(G$44*(-(50-$B42)*('Rhaniad y Ddeiliadaeth (Cymru)'!G$110/40)))</f>
        <v>29396.854214234696</v>
      </c>
      <c r="L42" s="62" t="str">
        <f t="shared" si="4"/>
        <v/>
      </c>
      <c r="M42" s="227"/>
      <c r="N42" s="14">
        <f t="shared" si="3"/>
        <v>1</v>
      </c>
      <c r="T42" s="1">
        <f t="shared" si="5"/>
        <v>48</v>
      </c>
      <c r="U42" s="4" t="str">
        <f t="shared" si="6"/>
        <v/>
      </c>
      <c r="V42" s="4" t="e">
        <f>IF($V$3=$M$3,M42,U42*(1+'Rhaniad y Ddeiliadaeth (Cymru)'!C$109)+(U$44*(-(50-$T42)*('Rhaniad y Ddeiliadaeth (Cymru)'!C$110/40))))</f>
        <v>#VALUE!</v>
      </c>
      <c r="W42" s="4" t="e">
        <f>V42*(1+'Rhaniad y Ddeiliadaeth (Cymru)'!D$109)+(V$44*(-(50-$T42)*('Rhaniad y Ddeiliadaeth (Cymru)'!D$110/40)))</f>
        <v>#VALUE!</v>
      </c>
      <c r="X42" s="4" t="e">
        <f>W42*(1+'Rhaniad y Ddeiliadaeth (Cymru)'!E$109)+(W$44*(-(50-$T42)*('Rhaniad y Ddeiliadaeth (Cymru)'!E$110/40)))</f>
        <v>#VALUE!</v>
      </c>
      <c r="Y42" s="4" t="e">
        <f>X42*(1+'Rhaniad y Ddeiliadaeth (Cymru)'!F$109)+(X$44*(-(50-$T42)*('Rhaniad y Ddeiliadaeth (Cymru)'!F$110/40)))</f>
        <v>#VALUE!</v>
      </c>
      <c r="Z42" s="4" t="e">
        <f>Y42*(1+'Rhaniad y Ddeiliadaeth (Cymru)'!G$109)+(Y$44*(-(50-$T42)*('Rhaniad y Ddeiliadaeth (Cymru)'!G$110/40)))</f>
        <v>#VALUE!</v>
      </c>
      <c r="AB42">
        <v>48</v>
      </c>
      <c r="AC42" s="4">
        <f>IF('Rhaniad y Ddeiliadaeth (Cymru)'!$D$8="Amcangyfrifon LlC",'Incwm (Cymru)'!D42,'Incwm (Cymru)'!V42)</f>
        <v>25828.033592187934</v>
      </c>
      <c r="AD42" s="4">
        <f>IF('Rhaniad y Ddeiliadaeth (Cymru)'!$D$8="Amcangyfrifon LlC",'Incwm (Cymru)'!E42,'Incwm (Cymru)'!W42)</f>
        <v>26478.731676594631</v>
      </c>
      <c r="AE42" s="4">
        <f>IF('Rhaniad y Ddeiliadaeth (Cymru)'!$D$8="Amcangyfrifon LlC",'Incwm (Cymru)'!F42,'Incwm (Cymru)'!X42)</f>
        <v>27333.598509748725</v>
      </c>
      <c r="AF42" s="4">
        <f>IF('Rhaniad y Ddeiliadaeth (Cymru)'!$D$8="Amcangyfrifon LlC",'Incwm (Cymru)'!G42,'Incwm (Cymru)'!Y42)</f>
        <v>28333.123102771435</v>
      </c>
      <c r="AG42" s="4">
        <f>IF('Rhaniad y Ddeiliadaeth (Cymru)'!$D$8="Amcangyfrifon LlC",'Incwm (Cymru)'!H42,'Incwm (Cymru)'!Z42)</f>
        <v>29396.854214234696</v>
      </c>
    </row>
    <row r="43" spans="2:33" x14ac:dyDescent="0.25">
      <c r="B43" s="20">
        <v>49</v>
      </c>
      <c r="C43" s="56">
        <v>25404</v>
      </c>
      <c r="D43" s="57">
        <f>C43*(1+'Rhaniad y Ddeiliadaeth (Cymru)'!C$109)+(C$44*(-(50-$B43)*('Rhaniad y Ddeiliadaeth (Cymru)'!C$110/40)))</f>
        <v>26296.269208432863</v>
      </c>
      <c r="E43" s="57">
        <f>D43*(1+'Rhaniad y Ddeiliadaeth (Cymru)'!D$109)+(D$44*(-(50-$B43)*('Rhaniad y Ddeiliadaeth (Cymru)'!D$110/40)))</f>
        <v>26965.691945018381</v>
      </c>
      <c r="F43" s="57">
        <f>E43*(1+'Rhaniad y Ddeiliadaeth (Cymru)'!E$109)+(E$44*(-(50-$B43)*('Rhaniad y Ddeiliadaeth (Cymru)'!E$110/40)))</f>
        <v>27843.390195420168</v>
      </c>
      <c r="G43" s="57">
        <f>F43*(1+'Rhaniad y Ddeiliadaeth (Cymru)'!F$109)+(F$44*(-(50-$B43)*('Rhaniad y Ddeiliadaeth (Cymru)'!F$110/40)))</f>
        <v>28868.903453373929</v>
      </c>
      <c r="H43" s="58">
        <f>G43*(1+'Rhaniad y Ddeiliadaeth (Cymru)'!G$109)+(G$44*(-(50-$B43)*('Rhaniad y Ddeiliadaeth (Cymru)'!G$110/40)))</f>
        <v>29960.372826163686</v>
      </c>
      <c r="L43" s="62" t="str">
        <f t="shared" si="4"/>
        <v/>
      </c>
      <c r="M43" s="227"/>
      <c r="N43" s="14">
        <f t="shared" si="3"/>
        <v>1</v>
      </c>
      <c r="T43" s="1">
        <f t="shared" si="5"/>
        <v>49</v>
      </c>
      <c r="U43" s="4" t="str">
        <f t="shared" si="6"/>
        <v/>
      </c>
      <c r="V43" s="4" t="e">
        <f>IF($V$3=$M$3,M43,U43*(1+'Rhaniad y Ddeiliadaeth (Cymru)'!C$109)+(U$44*(-(50-$T43)*('Rhaniad y Ddeiliadaeth (Cymru)'!C$110/40))))</f>
        <v>#VALUE!</v>
      </c>
      <c r="W43" s="4" t="e">
        <f>V43*(1+'Rhaniad y Ddeiliadaeth (Cymru)'!D$109)+(V$44*(-(50-$T43)*('Rhaniad y Ddeiliadaeth (Cymru)'!D$110/40)))</f>
        <v>#VALUE!</v>
      </c>
      <c r="X43" s="4" t="e">
        <f>W43*(1+'Rhaniad y Ddeiliadaeth (Cymru)'!E$109)+(W$44*(-(50-$T43)*('Rhaniad y Ddeiliadaeth (Cymru)'!E$110/40)))</f>
        <v>#VALUE!</v>
      </c>
      <c r="Y43" s="4" t="e">
        <f>X43*(1+'Rhaniad y Ddeiliadaeth (Cymru)'!F$109)+(X$44*(-(50-$T43)*('Rhaniad y Ddeiliadaeth (Cymru)'!F$110/40)))</f>
        <v>#VALUE!</v>
      </c>
      <c r="Z43" s="4" t="e">
        <f>Y43*(1+'Rhaniad y Ddeiliadaeth (Cymru)'!G$109)+(Y$44*(-(50-$T43)*('Rhaniad y Ddeiliadaeth (Cymru)'!G$110/40)))</f>
        <v>#VALUE!</v>
      </c>
      <c r="AB43">
        <v>49</v>
      </c>
      <c r="AC43" s="4">
        <f>IF('Rhaniad y Ddeiliadaeth (Cymru)'!$D$8="Amcangyfrifon LlC",'Incwm (Cymru)'!D43,'Incwm (Cymru)'!V43)</f>
        <v>26296.269208432863</v>
      </c>
      <c r="AD43" s="4">
        <f>IF('Rhaniad y Ddeiliadaeth (Cymru)'!$D$8="Amcangyfrifon LlC",'Incwm (Cymru)'!E43,'Incwm (Cymru)'!W43)</f>
        <v>26965.691945018381</v>
      </c>
      <c r="AE43" s="4">
        <f>IF('Rhaniad y Ddeiliadaeth (Cymru)'!$D$8="Amcangyfrifon LlC",'Incwm (Cymru)'!F43,'Incwm (Cymru)'!X43)</f>
        <v>27843.390195420168</v>
      </c>
      <c r="AF43" s="4">
        <f>IF('Rhaniad y Ddeiliadaeth (Cymru)'!$D$8="Amcangyfrifon LlC",'Incwm (Cymru)'!G43,'Incwm (Cymru)'!Y43)</f>
        <v>28868.903453373929</v>
      </c>
      <c r="AG43" s="4">
        <f>IF('Rhaniad y Ddeiliadaeth (Cymru)'!$D$8="Amcangyfrifon LlC",'Incwm (Cymru)'!H43,'Incwm (Cymru)'!Z43)</f>
        <v>29960.372826163686</v>
      </c>
    </row>
    <row r="44" spans="2:33" x14ac:dyDescent="0.25">
      <c r="B44" s="20">
        <v>50</v>
      </c>
      <c r="C44" s="56">
        <v>25829.25</v>
      </c>
      <c r="D44" s="57">
        <f>C44*(1+'Rhaniad y Ddeiliadaeth (Cymru)'!C$109)+(C$44*(-(50-$B44)*('Rhaniad y Ddeiliadaeth (Cymru)'!C$110/40)))</f>
        <v>26743.020744402656</v>
      </c>
      <c r="E44" s="57">
        <f>D44*(1+'Rhaniad y Ddeiliadaeth (Cymru)'!D$109)+(D$44*(-(50-$B44)*('Rhaniad y Ddeiliadaeth (Cymru)'!D$110/40)))</f>
        <v>27430.615751800768</v>
      </c>
      <c r="F44" s="57">
        <f>E44*(1+'Rhaniad y Ddeiliadaeth (Cymru)'!E$109)+(E$44*(-(50-$B44)*('Rhaniad y Ddeiliadaeth (Cymru)'!E$110/40)))</f>
        <v>28330.422557144488</v>
      </c>
      <c r="G44" s="57">
        <f>F44*(1+'Rhaniad y Ddeiliadaeth (Cymru)'!F$109)+(F$44*(-(50-$B44)*('Rhaniad y Ddeiliadaeth (Cymru)'!F$110/40)))</f>
        <v>29381.080431097009</v>
      </c>
      <c r="H44" s="58">
        <f>G44*(1+'Rhaniad y Ddeiliadaeth (Cymru)'!G$109)+(G$44*(-(50-$B44)*('Rhaniad y Ddeiliadaeth (Cymru)'!G$110/40)))</f>
        <v>30499.389668369629</v>
      </c>
      <c r="L44" s="62" t="str">
        <f t="shared" si="4"/>
        <v/>
      </c>
      <c r="M44" s="227"/>
      <c r="N44" s="14">
        <f t="shared" si="3"/>
        <v>1</v>
      </c>
      <c r="T44" s="1">
        <f t="shared" si="5"/>
        <v>50</v>
      </c>
      <c r="U44" s="4" t="str">
        <f t="shared" si="6"/>
        <v/>
      </c>
      <c r="V44" s="4" t="e">
        <f>IF($V$3=$M$3,M44,U44*(1+'Rhaniad y Ddeiliadaeth (Cymru)'!C$109)+(U$44*(-(50-$T44)*('Rhaniad y Ddeiliadaeth (Cymru)'!C$110/40))))</f>
        <v>#VALUE!</v>
      </c>
      <c r="W44" s="4" t="e">
        <f>V44*(1+'Rhaniad y Ddeiliadaeth (Cymru)'!D$109)+(V$44*(-(50-$T44)*('Rhaniad y Ddeiliadaeth (Cymru)'!D$110/40)))</f>
        <v>#VALUE!</v>
      </c>
      <c r="X44" s="4" t="e">
        <f>W44*(1+'Rhaniad y Ddeiliadaeth (Cymru)'!E$109)+(W$44*(-(50-$T44)*('Rhaniad y Ddeiliadaeth (Cymru)'!E$110/40)))</f>
        <v>#VALUE!</v>
      </c>
      <c r="Y44" s="4" t="e">
        <f>X44*(1+'Rhaniad y Ddeiliadaeth (Cymru)'!F$109)+(X$44*(-(50-$T44)*('Rhaniad y Ddeiliadaeth (Cymru)'!F$110/40)))</f>
        <v>#VALUE!</v>
      </c>
      <c r="Z44" s="4" t="e">
        <f>Y44*(1+'Rhaniad y Ddeiliadaeth (Cymru)'!G$109)+(Y$44*(-(50-$T44)*('Rhaniad y Ddeiliadaeth (Cymru)'!G$110/40)))</f>
        <v>#VALUE!</v>
      </c>
      <c r="AB44">
        <v>50</v>
      </c>
      <c r="AC44" s="4">
        <f>IF('Rhaniad y Ddeiliadaeth (Cymru)'!$D$8="Amcangyfrifon LlC",'Incwm (Cymru)'!D44,'Incwm (Cymru)'!V44)</f>
        <v>26743.020744402656</v>
      </c>
      <c r="AD44" s="4">
        <f>IF('Rhaniad y Ddeiliadaeth (Cymru)'!$D$8="Amcangyfrifon LlC",'Incwm (Cymru)'!E44,'Incwm (Cymru)'!W44)</f>
        <v>27430.615751800768</v>
      </c>
      <c r="AE44" s="4">
        <f>IF('Rhaniad y Ddeiliadaeth (Cymru)'!$D$8="Amcangyfrifon LlC",'Incwm (Cymru)'!F44,'Incwm (Cymru)'!X44)</f>
        <v>28330.422557144488</v>
      </c>
      <c r="AF44" s="4">
        <f>IF('Rhaniad y Ddeiliadaeth (Cymru)'!$D$8="Amcangyfrifon LlC",'Incwm (Cymru)'!G44,'Incwm (Cymru)'!Y44)</f>
        <v>29381.080431097009</v>
      </c>
      <c r="AG44" s="4">
        <f>IF('Rhaniad y Ddeiliadaeth (Cymru)'!$D$8="Amcangyfrifon LlC",'Incwm (Cymru)'!H44,'Incwm (Cymru)'!Z44)</f>
        <v>30499.389668369629</v>
      </c>
    </row>
    <row r="45" spans="2:33" x14ac:dyDescent="0.25">
      <c r="B45" s="20">
        <v>51</v>
      </c>
      <c r="C45" s="56">
        <v>26227</v>
      </c>
      <c r="D45" s="57">
        <f>C45*(1+'Rhaniad y Ddeiliadaeth (Cymru)'!C$109)+(C$44*(-(50-$B45)*('Rhaniad y Ddeiliadaeth (Cymru)'!C$110/40)))</f>
        <v>27161.299402899389</v>
      </c>
      <c r="E45" s="57">
        <f>D45*(1+'Rhaniad y Ddeiliadaeth (Cymru)'!D$109)+(D$44*(-(50-$B45)*('Rhaniad y Ddeiliadaeth (Cymru)'!D$110/40)))</f>
        <v>27866.334609419922</v>
      </c>
      <c r="F45" s="57">
        <f>E45*(1+'Rhaniad y Ddeiliadaeth (Cymru)'!E$109)+(E$44*(-(50-$B45)*('Rhaniad y Ddeiliadaeth (Cymru)'!E$110/40)))</f>
        <v>28787.291959420847</v>
      </c>
      <c r="G45" s="57">
        <f>F45*(1+'Rhaniad y Ddeiliadaeth (Cymru)'!F$109)+(F$44*(-(50-$B45)*('Rhaniad y Ddeiliadaeth (Cymru)'!F$110/40)))</f>
        <v>29861.975830305226</v>
      </c>
      <c r="H45" s="58">
        <f>G45*(1+'Rhaniad y Ddeiliadaeth (Cymru)'!G$109)+(G$44*(-(50-$B45)*('Rhaniad y Ddeiliadaeth (Cymru)'!G$110/40)))</f>
        <v>31005.934285641437</v>
      </c>
      <c r="L45" s="62" t="str">
        <f t="shared" si="4"/>
        <v/>
      </c>
      <c r="M45" s="227"/>
      <c r="N45" s="14">
        <f t="shared" si="3"/>
        <v>1</v>
      </c>
      <c r="T45" s="1">
        <f t="shared" si="5"/>
        <v>51</v>
      </c>
      <c r="U45" s="4" t="str">
        <f t="shared" si="6"/>
        <v/>
      </c>
      <c r="V45" s="4" t="e">
        <f>IF($V$3=$M$3,M45,U45*(1+'Rhaniad y Ddeiliadaeth (Cymru)'!C$109)+(U$44*(-(50-$T45)*('Rhaniad y Ddeiliadaeth (Cymru)'!C$110/40))))</f>
        <v>#VALUE!</v>
      </c>
      <c r="W45" s="4" t="e">
        <f>V45*(1+'Rhaniad y Ddeiliadaeth (Cymru)'!D$109)+(V$44*(-(50-$T45)*('Rhaniad y Ddeiliadaeth (Cymru)'!D$110/40)))</f>
        <v>#VALUE!</v>
      </c>
      <c r="X45" s="4" t="e">
        <f>W45*(1+'Rhaniad y Ddeiliadaeth (Cymru)'!E$109)+(W$44*(-(50-$T45)*('Rhaniad y Ddeiliadaeth (Cymru)'!E$110/40)))</f>
        <v>#VALUE!</v>
      </c>
      <c r="Y45" s="4" t="e">
        <f>X45*(1+'Rhaniad y Ddeiliadaeth (Cymru)'!F$109)+(X$44*(-(50-$T45)*('Rhaniad y Ddeiliadaeth (Cymru)'!F$110/40)))</f>
        <v>#VALUE!</v>
      </c>
      <c r="Z45" s="4" t="e">
        <f>Y45*(1+'Rhaniad y Ddeiliadaeth (Cymru)'!G$109)+(Y$44*(-(50-$T45)*('Rhaniad y Ddeiliadaeth (Cymru)'!G$110/40)))</f>
        <v>#VALUE!</v>
      </c>
      <c r="AB45">
        <v>51</v>
      </c>
      <c r="AC45" s="4">
        <f>IF('Rhaniad y Ddeiliadaeth (Cymru)'!$D$8="Amcangyfrifon LlC",'Incwm (Cymru)'!D45,'Incwm (Cymru)'!V45)</f>
        <v>27161.299402899389</v>
      </c>
      <c r="AD45" s="4">
        <f>IF('Rhaniad y Ddeiliadaeth (Cymru)'!$D$8="Amcangyfrifon LlC",'Incwm (Cymru)'!E45,'Incwm (Cymru)'!W45)</f>
        <v>27866.334609419922</v>
      </c>
      <c r="AE45" s="4">
        <f>IF('Rhaniad y Ddeiliadaeth (Cymru)'!$D$8="Amcangyfrifon LlC",'Incwm (Cymru)'!F45,'Incwm (Cymru)'!X45)</f>
        <v>28787.291959420847</v>
      </c>
      <c r="AF45" s="4">
        <f>IF('Rhaniad y Ddeiliadaeth (Cymru)'!$D$8="Amcangyfrifon LlC",'Incwm (Cymru)'!G45,'Incwm (Cymru)'!Y45)</f>
        <v>29861.975830305226</v>
      </c>
      <c r="AG45" s="4">
        <f>IF('Rhaniad y Ddeiliadaeth (Cymru)'!$D$8="Amcangyfrifon LlC",'Incwm (Cymru)'!H45,'Incwm (Cymru)'!Z45)</f>
        <v>31005.934285641437</v>
      </c>
    </row>
    <row r="46" spans="2:33" x14ac:dyDescent="0.25">
      <c r="B46" s="20">
        <v>52</v>
      </c>
      <c r="C46" s="56">
        <v>26730</v>
      </c>
      <c r="D46" s="57">
        <f>C46*(1+'Rhaniad y Ddeiliadaeth (Cymru)'!C$109)+(C$44*(-(50-$B46)*('Rhaniad y Ddeiliadaeth (Cymru)'!C$110/40)))</f>
        <v>27688.551528815751</v>
      </c>
      <c r="E46" s="57">
        <f>D46*(1+'Rhaniad y Ddeiliadaeth (Cymru)'!D$109)+(D$44*(-(50-$B46)*('Rhaniad y Ddeiliadaeth (Cymru)'!D$110/40)))</f>
        <v>28413.828772472923</v>
      </c>
      <c r="F46" s="57">
        <f>E46*(1+'Rhaniad y Ddeiliadaeth (Cymru)'!E$109)+(E$44*(-(50-$B46)*('Rhaniad y Ddeiliadaeth (Cymru)'!E$110/40)))</f>
        <v>29359.603233766258</v>
      </c>
      <c r="G46" s="57">
        <f>F46*(1+'Rhaniad y Ddeiliadaeth (Cymru)'!F$109)+(F$44*(-(50-$B46)*('Rhaniad y Ddeiliadaeth (Cymru)'!F$110/40)))</f>
        <v>30462.594361829444</v>
      </c>
      <c r="H46" s="58">
        <f>G46*(1+'Rhaniad y Ddeiliadaeth (Cymru)'!G$109)+(G$44*(-(50-$B46)*('Rhaniad y Ddeiliadaeth (Cymru)'!G$110/40)))</f>
        <v>31636.758963797554</v>
      </c>
      <c r="L46" s="62" t="str">
        <f t="shared" si="4"/>
        <v/>
      </c>
      <c r="M46" s="227"/>
      <c r="N46" s="14">
        <f t="shared" si="3"/>
        <v>1</v>
      </c>
      <c r="T46" s="1">
        <f t="shared" si="5"/>
        <v>52</v>
      </c>
      <c r="U46" s="4" t="str">
        <f t="shared" si="6"/>
        <v/>
      </c>
      <c r="V46" s="4" t="e">
        <f>IF($V$3=$M$3,M46,U46*(1+'Rhaniad y Ddeiliadaeth (Cymru)'!C$109)+(U$44*(-(50-$T46)*('Rhaniad y Ddeiliadaeth (Cymru)'!C$110/40))))</f>
        <v>#VALUE!</v>
      </c>
      <c r="W46" s="4" t="e">
        <f>V46*(1+'Rhaniad y Ddeiliadaeth (Cymru)'!D$109)+(V$44*(-(50-$T46)*('Rhaniad y Ddeiliadaeth (Cymru)'!D$110/40)))</f>
        <v>#VALUE!</v>
      </c>
      <c r="X46" s="4" t="e">
        <f>W46*(1+'Rhaniad y Ddeiliadaeth (Cymru)'!E$109)+(W$44*(-(50-$T46)*('Rhaniad y Ddeiliadaeth (Cymru)'!E$110/40)))</f>
        <v>#VALUE!</v>
      </c>
      <c r="Y46" s="4" t="e">
        <f>X46*(1+'Rhaniad y Ddeiliadaeth (Cymru)'!F$109)+(X$44*(-(50-$T46)*('Rhaniad y Ddeiliadaeth (Cymru)'!F$110/40)))</f>
        <v>#VALUE!</v>
      </c>
      <c r="Z46" s="4" t="e">
        <f>Y46*(1+'Rhaniad y Ddeiliadaeth (Cymru)'!G$109)+(Y$44*(-(50-$T46)*('Rhaniad y Ddeiliadaeth (Cymru)'!G$110/40)))</f>
        <v>#VALUE!</v>
      </c>
      <c r="AB46">
        <v>52</v>
      </c>
      <c r="AC46" s="4">
        <f>IF('Rhaniad y Ddeiliadaeth (Cymru)'!$D$8="Amcangyfrifon LlC",'Incwm (Cymru)'!D46,'Incwm (Cymru)'!V46)</f>
        <v>27688.551528815751</v>
      </c>
      <c r="AD46" s="4">
        <f>IF('Rhaniad y Ddeiliadaeth (Cymru)'!$D$8="Amcangyfrifon LlC",'Incwm (Cymru)'!E46,'Incwm (Cymru)'!W46)</f>
        <v>28413.828772472923</v>
      </c>
      <c r="AE46" s="4">
        <f>IF('Rhaniad y Ddeiliadaeth (Cymru)'!$D$8="Amcangyfrifon LlC",'Incwm (Cymru)'!F46,'Incwm (Cymru)'!X46)</f>
        <v>29359.603233766258</v>
      </c>
      <c r="AF46" s="4">
        <f>IF('Rhaniad y Ddeiliadaeth (Cymru)'!$D$8="Amcangyfrifon LlC",'Incwm (Cymru)'!G46,'Incwm (Cymru)'!Y46)</f>
        <v>30462.594361829444</v>
      </c>
      <c r="AG46" s="4">
        <f>IF('Rhaniad y Ddeiliadaeth (Cymru)'!$D$8="Amcangyfrifon LlC",'Incwm (Cymru)'!H46,'Incwm (Cymru)'!Z46)</f>
        <v>31636.758963797554</v>
      </c>
    </row>
    <row r="47" spans="2:33" x14ac:dyDescent="0.25">
      <c r="B47" s="20">
        <v>53</v>
      </c>
      <c r="C47" s="56">
        <v>27205</v>
      </c>
      <c r="D47" s="57">
        <f>C47*(1+'Rhaniad y Ddeiliadaeth (Cymru)'!C$109)+(C$44*(-(50-$B47)*('Rhaniad y Ddeiliadaeth (Cymru)'!C$110/40)))</f>
        <v>28186.813088577721</v>
      </c>
      <c r="E47" s="57">
        <f>D47*(1+'Rhaniad y Ddeiliadaeth (Cymru)'!D$109)+(D$44*(-(50-$B47)*('Rhaniad y Ddeiliadaeth (Cymru)'!D$110/40)))</f>
        <v>28931.586987286984</v>
      </c>
      <c r="F47" s="57">
        <f>E47*(1+'Rhaniad y Ddeiliadaeth (Cymru)'!E$109)+(E$44*(-(50-$B47)*('Rhaniad y Ddeiliadaeth (Cymru)'!E$110/40)))</f>
        <v>29901.203131219183</v>
      </c>
      <c r="G47" s="57">
        <f>F47*(1+'Rhaniad y Ddeiliadaeth (Cymru)'!F$109)+(F$44*(-(50-$B47)*('Rhaniad y Ddeiliadaeth (Cymru)'!F$110/40)))</f>
        <v>31031.362558865789</v>
      </c>
      <c r="H47" s="58">
        <f>G47*(1+'Rhaniad y Ddeiliadaeth (Cymru)'!G$109)+(G$44*(-(50-$B47)*('Rhaniad y Ddeiliadaeth (Cymru)'!G$110/40)))</f>
        <v>32234.52101292981</v>
      </c>
      <c r="L47" s="62" t="str">
        <f t="shared" si="4"/>
        <v/>
      </c>
      <c r="M47" s="227"/>
      <c r="N47" s="14">
        <f t="shared" si="3"/>
        <v>1</v>
      </c>
      <c r="T47" s="1">
        <f t="shared" si="5"/>
        <v>53</v>
      </c>
      <c r="U47" s="4" t="str">
        <f t="shared" si="6"/>
        <v/>
      </c>
      <c r="V47" s="4" t="e">
        <f>IF($V$3=$M$3,M47,U47*(1+'Rhaniad y Ddeiliadaeth (Cymru)'!C$109)+(U$44*(-(50-$T47)*('Rhaniad y Ddeiliadaeth (Cymru)'!C$110/40))))</f>
        <v>#VALUE!</v>
      </c>
      <c r="W47" s="4" t="e">
        <f>V47*(1+'Rhaniad y Ddeiliadaeth (Cymru)'!D$109)+(V$44*(-(50-$T47)*('Rhaniad y Ddeiliadaeth (Cymru)'!D$110/40)))</f>
        <v>#VALUE!</v>
      </c>
      <c r="X47" s="4" t="e">
        <f>W47*(1+'Rhaniad y Ddeiliadaeth (Cymru)'!E$109)+(W$44*(-(50-$T47)*('Rhaniad y Ddeiliadaeth (Cymru)'!E$110/40)))</f>
        <v>#VALUE!</v>
      </c>
      <c r="Y47" s="4" t="e">
        <f>X47*(1+'Rhaniad y Ddeiliadaeth (Cymru)'!F$109)+(X$44*(-(50-$T47)*('Rhaniad y Ddeiliadaeth (Cymru)'!F$110/40)))</f>
        <v>#VALUE!</v>
      </c>
      <c r="Z47" s="4" t="e">
        <f>Y47*(1+'Rhaniad y Ddeiliadaeth (Cymru)'!G$109)+(Y$44*(-(50-$T47)*('Rhaniad y Ddeiliadaeth (Cymru)'!G$110/40)))</f>
        <v>#VALUE!</v>
      </c>
      <c r="AB47">
        <v>53</v>
      </c>
      <c r="AC47" s="4">
        <f>IF('Rhaniad y Ddeiliadaeth (Cymru)'!$D$8="Amcangyfrifon LlC",'Incwm (Cymru)'!D47,'Incwm (Cymru)'!V47)</f>
        <v>28186.813088577721</v>
      </c>
      <c r="AD47" s="4">
        <f>IF('Rhaniad y Ddeiliadaeth (Cymru)'!$D$8="Amcangyfrifon LlC",'Incwm (Cymru)'!E47,'Incwm (Cymru)'!W47)</f>
        <v>28931.586987286984</v>
      </c>
      <c r="AE47" s="4">
        <f>IF('Rhaniad y Ddeiliadaeth (Cymru)'!$D$8="Amcangyfrifon LlC",'Incwm (Cymru)'!F47,'Incwm (Cymru)'!X47)</f>
        <v>29901.203131219183</v>
      </c>
      <c r="AF47" s="4">
        <f>IF('Rhaniad y Ddeiliadaeth (Cymru)'!$D$8="Amcangyfrifon LlC",'Incwm (Cymru)'!G47,'Incwm (Cymru)'!Y47)</f>
        <v>31031.362558865789</v>
      </c>
      <c r="AG47" s="4">
        <f>IF('Rhaniad y Ddeiliadaeth (Cymru)'!$D$8="Amcangyfrifon LlC",'Incwm (Cymru)'!H47,'Incwm (Cymru)'!Z47)</f>
        <v>32234.52101292981</v>
      </c>
    </row>
    <row r="48" spans="2:33" x14ac:dyDescent="0.25">
      <c r="B48" s="20">
        <v>54</v>
      </c>
      <c r="C48" s="56">
        <v>27952.2</v>
      </c>
      <c r="D48" s="57">
        <f>C48*(1+'Rhaniad y Ddeiliadaeth (Cymru)'!C$109)+(C$44*(-(50-$B48)*('Rhaniad y Ddeiliadaeth (Cymru)'!C$110/40)))</f>
        <v>28966.90436645487</v>
      </c>
      <c r="E48" s="57">
        <f>D48*(1+'Rhaniad y Ddeiliadaeth (Cymru)'!D$109)+(D$44*(-(50-$B48)*('Rhaniad y Ddeiliadaeth (Cymru)'!D$110/40)))</f>
        <v>29738.421098909519</v>
      </c>
      <c r="F48" s="57">
        <f>E48*(1+'Rhaniad y Ddeiliadaeth (Cymru)'!E$109)+(E$44*(-(50-$B48)*('Rhaniad y Ddeiliadaeth (Cymru)'!E$110/40)))</f>
        <v>30741.361485462563</v>
      </c>
      <c r="G48" s="57">
        <f>F48*(1+'Rhaniad y Ddeiliadaeth (Cymru)'!F$109)+(F$44*(-(50-$B48)*('Rhaniad y Ddeiliadaeth (Cymru)'!F$110/40)))</f>
        <v>31909.761507602041</v>
      </c>
      <c r="H48" s="58">
        <f>G48*(1+'Rhaniad y Ddeiliadaeth (Cymru)'!G$109)+(G$44*(-(50-$B48)*('Rhaniad y Ddeiliadaeth (Cymru)'!G$110/40)))</f>
        <v>33153.699048501105</v>
      </c>
      <c r="L48" s="62" t="str">
        <f t="shared" si="4"/>
        <v/>
      </c>
      <c r="M48" s="227"/>
      <c r="N48" s="14">
        <f t="shared" si="3"/>
        <v>1</v>
      </c>
      <c r="T48" s="1">
        <f t="shared" si="5"/>
        <v>54</v>
      </c>
      <c r="U48" s="4" t="str">
        <f t="shared" si="6"/>
        <v/>
      </c>
      <c r="V48" s="4" t="e">
        <f>IF($V$3=$M$3,M48,U48*(1+'Rhaniad y Ddeiliadaeth (Cymru)'!C$109)+(U$44*(-(50-$T48)*('Rhaniad y Ddeiliadaeth (Cymru)'!C$110/40))))</f>
        <v>#VALUE!</v>
      </c>
      <c r="W48" s="4" t="e">
        <f>V48*(1+'Rhaniad y Ddeiliadaeth (Cymru)'!D$109)+(V$44*(-(50-$T48)*('Rhaniad y Ddeiliadaeth (Cymru)'!D$110/40)))</f>
        <v>#VALUE!</v>
      </c>
      <c r="X48" s="4" t="e">
        <f>W48*(1+'Rhaniad y Ddeiliadaeth (Cymru)'!E$109)+(W$44*(-(50-$T48)*('Rhaniad y Ddeiliadaeth (Cymru)'!E$110/40)))</f>
        <v>#VALUE!</v>
      </c>
      <c r="Y48" s="4" t="e">
        <f>X48*(1+'Rhaniad y Ddeiliadaeth (Cymru)'!F$109)+(X$44*(-(50-$T48)*('Rhaniad y Ddeiliadaeth (Cymru)'!F$110/40)))</f>
        <v>#VALUE!</v>
      </c>
      <c r="Z48" s="4" t="e">
        <f>Y48*(1+'Rhaniad y Ddeiliadaeth (Cymru)'!G$109)+(Y$44*(-(50-$T48)*('Rhaniad y Ddeiliadaeth (Cymru)'!G$110/40)))</f>
        <v>#VALUE!</v>
      </c>
      <c r="AB48">
        <v>54</v>
      </c>
      <c r="AC48" s="4">
        <f>IF('Rhaniad y Ddeiliadaeth (Cymru)'!$D$8="Amcangyfrifon LlC",'Incwm (Cymru)'!D48,'Incwm (Cymru)'!V48)</f>
        <v>28966.90436645487</v>
      </c>
      <c r="AD48" s="4">
        <f>IF('Rhaniad y Ddeiliadaeth (Cymru)'!$D$8="Amcangyfrifon LlC",'Incwm (Cymru)'!E48,'Incwm (Cymru)'!W48)</f>
        <v>29738.421098909519</v>
      </c>
      <c r="AE48" s="4">
        <f>IF('Rhaniad y Ddeiliadaeth (Cymru)'!$D$8="Amcangyfrifon LlC",'Incwm (Cymru)'!F48,'Incwm (Cymru)'!X48)</f>
        <v>30741.361485462563</v>
      </c>
      <c r="AF48" s="4">
        <f>IF('Rhaniad y Ddeiliadaeth (Cymru)'!$D$8="Amcangyfrifon LlC",'Incwm (Cymru)'!G48,'Incwm (Cymru)'!Y48)</f>
        <v>31909.761507602041</v>
      </c>
      <c r="AG48" s="4">
        <f>IF('Rhaniad y Ddeiliadaeth (Cymru)'!$D$8="Amcangyfrifon LlC",'Incwm (Cymru)'!H48,'Incwm (Cymru)'!Z48)</f>
        <v>33153.699048501105</v>
      </c>
    </row>
    <row r="49" spans="2:33" x14ac:dyDescent="0.25">
      <c r="B49" s="20">
        <v>55</v>
      </c>
      <c r="C49" s="56">
        <v>28547</v>
      </c>
      <c r="D49" s="57">
        <f>C49*(1+'Rhaniad y Ddeiliadaeth (Cymru)'!C$109)+(C$44*(-(50-$B49)*('Rhaniad y Ddeiliadaeth (Cymru)'!C$110/40)))</f>
        <v>29589.204134263124</v>
      </c>
      <c r="E49" s="57">
        <f>D49*(1+'Rhaniad y Ddeiliadaeth (Cymru)'!D$109)+(D$44*(-(50-$B49)*('Rhaniad y Ddeiliadaeth (Cymru)'!D$110/40)))</f>
        <v>30383.40669226016</v>
      </c>
      <c r="F49" s="57">
        <f>E49*(1+'Rhaniad y Ddeiliadaeth (Cymru)'!E$109)+(E$44*(-(50-$B49)*('Rhaniad y Ddeiliadaeth (Cymru)'!E$110/40)))</f>
        <v>31414.362202619741</v>
      </c>
      <c r="G49" s="57">
        <f>F49*(1+'Rhaniad y Ddeiliadaeth (Cymru)'!F$109)+(F$44*(-(50-$B49)*('Rhaniad y Ddeiliadaeth (Cymru)'!F$110/40)))</f>
        <v>32614.803635768618</v>
      </c>
      <c r="H49" s="58">
        <f>G49*(1+'Rhaniad y Ddeiliadaeth (Cymru)'!G$109)+(G$44*(-(50-$B49)*('Rhaniad y Ddeiliadaeth (Cymru)'!G$110/40)))</f>
        <v>33892.921917528271</v>
      </c>
      <c r="L49" s="62" t="str">
        <f t="shared" si="4"/>
        <v/>
      </c>
      <c r="M49" s="227"/>
      <c r="N49" s="14">
        <f t="shared" si="3"/>
        <v>1</v>
      </c>
      <c r="T49" s="1">
        <f t="shared" si="5"/>
        <v>55</v>
      </c>
      <c r="U49" s="4" t="str">
        <f t="shared" si="6"/>
        <v/>
      </c>
      <c r="V49" s="4" t="e">
        <f>IF($V$3=$M$3,M49,U49*(1+'Rhaniad y Ddeiliadaeth (Cymru)'!C$109)+(U$44*(-(50-$T49)*('Rhaniad y Ddeiliadaeth (Cymru)'!C$110/40))))</f>
        <v>#VALUE!</v>
      </c>
      <c r="W49" s="4" t="e">
        <f>V49*(1+'Rhaniad y Ddeiliadaeth (Cymru)'!D$109)+(V$44*(-(50-$T49)*('Rhaniad y Ddeiliadaeth (Cymru)'!D$110/40)))</f>
        <v>#VALUE!</v>
      </c>
      <c r="X49" s="4" t="e">
        <f>W49*(1+'Rhaniad y Ddeiliadaeth (Cymru)'!E$109)+(W$44*(-(50-$T49)*('Rhaniad y Ddeiliadaeth (Cymru)'!E$110/40)))</f>
        <v>#VALUE!</v>
      </c>
      <c r="Y49" s="4" t="e">
        <f>X49*(1+'Rhaniad y Ddeiliadaeth (Cymru)'!F$109)+(X$44*(-(50-$T49)*('Rhaniad y Ddeiliadaeth (Cymru)'!F$110/40)))</f>
        <v>#VALUE!</v>
      </c>
      <c r="Z49" s="4" t="e">
        <f>Y49*(1+'Rhaniad y Ddeiliadaeth (Cymru)'!G$109)+(Y$44*(-(50-$T49)*('Rhaniad y Ddeiliadaeth (Cymru)'!G$110/40)))</f>
        <v>#VALUE!</v>
      </c>
      <c r="AB49">
        <v>55</v>
      </c>
      <c r="AC49" s="4">
        <f>IF('Rhaniad y Ddeiliadaeth (Cymru)'!$D$8="Amcangyfrifon LlC",'Incwm (Cymru)'!D49,'Incwm (Cymru)'!V49)</f>
        <v>29589.204134263124</v>
      </c>
      <c r="AD49" s="4">
        <f>IF('Rhaniad y Ddeiliadaeth (Cymru)'!$D$8="Amcangyfrifon LlC",'Incwm (Cymru)'!E49,'Incwm (Cymru)'!W49)</f>
        <v>30383.40669226016</v>
      </c>
      <c r="AE49" s="4">
        <f>IF('Rhaniad y Ddeiliadaeth (Cymru)'!$D$8="Amcangyfrifon LlC",'Incwm (Cymru)'!F49,'Incwm (Cymru)'!X49)</f>
        <v>31414.362202619741</v>
      </c>
      <c r="AF49" s="4">
        <f>IF('Rhaniad y Ddeiliadaeth (Cymru)'!$D$8="Amcangyfrifon LlC",'Incwm (Cymru)'!G49,'Incwm (Cymru)'!Y49)</f>
        <v>32614.803635768618</v>
      </c>
      <c r="AG49" s="4">
        <f>IF('Rhaniad y Ddeiliadaeth (Cymru)'!$D$8="Amcangyfrifon LlC",'Incwm (Cymru)'!H49,'Incwm (Cymru)'!Z49)</f>
        <v>33892.921917528271</v>
      </c>
    </row>
    <row r="50" spans="2:33" x14ac:dyDescent="0.25">
      <c r="B50" s="20">
        <v>56</v>
      </c>
      <c r="C50" s="56">
        <v>29143.45</v>
      </c>
      <c r="D50" s="57">
        <f>C50*(1+'Rhaniad y Ddeiliadaeth (Cymru)'!C$109)+(C$44*(-(50-$B50)*('Rhaniad y Ddeiliadaeth (Cymru)'!C$110/40)))</f>
        <v>30213.212274719761</v>
      </c>
      <c r="E50" s="57">
        <f>D50*(1+'Rhaniad y Ddeiliadaeth (Cymru)'!D$109)+(D$44*(-(50-$B50)*('Rhaniad y Ddeiliadaeth (Cymru)'!D$110/40)))</f>
        <v>31030.144582560588</v>
      </c>
      <c r="F50" s="57">
        <f>E50*(1+'Rhaniad y Ddeiliadaeth (Cymru)'!E$109)+(E$44*(-(50-$B50)*('Rhaniad y Ddeiliadaeth (Cymru)'!E$110/40)))</f>
        <v>32089.172697343791</v>
      </c>
      <c r="G50" s="57">
        <f>F50*(1+'Rhaniad y Ddeiliadaeth (Cymru)'!F$109)+(F$44*(-(50-$B50)*('Rhaniad y Ddeiliadaeth (Cymru)'!F$110/40)))</f>
        <v>33321.722658646082</v>
      </c>
      <c r="H50" s="58">
        <f>G50*(1+'Rhaniad y Ddeiliadaeth (Cymru)'!G$109)+(G$44*(-(50-$B50)*('Rhaniad y Ddeiliadaeth (Cymru)'!G$110/40)))</f>
        <v>34634.09312005149</v>
      </c>
      <c r="L50" s="62" t="str">
        <f t="shared" si="4"/>
        <v/>
      </c>
      <c r="M50" s="227"/>
      <c r="N50" s="14">
        <f t="shared" si="3"/>
        <v>1</v>
      </c>
      <c r="T50" s="1">
        <f t="shared" si="5"/>
        <v>56</v>
      </c>
      <c r="U50" s="4" t="str">
        <f t="shared" si="6"/>
        <v/>
      </c>
      <c r="V50" s="4" t="e">
        <f>IF($V$3=$M$3,M50,U50*(1+'Rhaniad y Ddeiliadaeth (Cymru)'!C$109)+(U$44*(-(50-$T50)*('Rhaniad y Ddeiliadaeth (Cymru)'!C$110/40))))</f>
        <v>#VALUE!</v>
      </c>
      <c r="W50" s="4" t="e">
        <f>V50*(1+'Rhaniad y Ddeiliadaeth (Cymru)'!D$109)+(V$44*(-(50-$T50)*('Rhaniad y Ddeiliadaeth (Cymru)'!D$110/40)))</f>
        <v>#VALUE!</v>
      </c>
      <c r="X50" s="4" t="e">
        <f>W50*(1+'Rhaniad y Ddeiliadaeth (Cymru)'!E$109)+(W$44*(-(50-$T50)*('Rhaniad y Ddeiliadaeth (Cymru)'!E$110/40)))</f>
        <v>#VALUE!</v>
      </c>
      <c r="Y50" s="4" t="e">
        <f>X50*(1+'Rhaniad y Ddeiliadaeth (Cymru)'!F$109)+(X$44*(-(50-$T50)*('Rhaniad y Ddeiliadaeth (Cymru)'!F$110/40)))</f>
        <v>#VALUE!</v>
      </c>
      <c r="Z50" s="4" t="e">
        <f>Y50*(1+'Rhaniad y Ddeiliadaeth (Cymru)'!G$109)+(Y$44*(-(50-$T50)*('Rhaniad y Ddeiliadaeth (Cymru)'!G$110/40)))</f>
        <v>#VALUE!</v>
      </c>
      <c r="AB50">
        <v>56</v>
      </c>
      <c r="AC50" s="4">
        <f>IF('Rhaniad y Ddeiliadaeth (Cymru)'!$D$8="Amcangyfrifon LlC",'Incwm (Cymru)'!D50,'Incwm (Cymru)'!V50)</f>
        <v>30213.212274719761</v>
      </c>
      <c r="AD50" s="4">
        <f>IF('Rhaniad y Ddeiliadaeth (Cymru)'!$D$8="Amcangyfrifon LlC",'Incwm (Cymru)'!E50,'Incwm (Cymru)'!W50)</f>
        <v>31030.144582560588</v>
      </c>
      <c r="AE50" s="4">
        <f>IF('Rhaniad y Ddeiliadaeth (Cymru)'!$D$8="Amcangyfrifon LlC",'Incwm (Cymru)'!F50,'Incwm (Cymru)'!X50)</f>
        <v>32089.172697343791</v>
      </c>
      <c r="AF50" s="4">
        <f>IF('Rhaniad y Ddeiliadaeth (Cymru)'!$D$8="Amcangyfrifon LlC",'Incwm (Cymru)'!G50,'Incwm (Cymru)'!Y50)</f>
        <v>33321.722658646082</v>
      </c>
      <c r="AG50" s="4">
        <f>IF('Rhaniad y Ddeiliadaeth (Cymru)'!$D$8="Amcangyfrifon LlC",'Incwm (Cymru)'!H50,'Incwm (Cymru)'!Z50)</f>
        <v>34634.09312005149</v>
      </c>
    </row>
    <row r="51" spans="2:33" x14ac:dyDescent="0.25">
      <c r="B51" s="20">
        <v>57</v>
      </c>
      <c r="C51" s="56">
        <v>29875</v>
      </c>
      <c r="D51" s="57">
        <f>C51*(1+'Rhaniad y Ddeiliadaeth (Cymru)'!C$109)+(C$44*(-(50-$B51)*('Rhaniad y Ddeiliadaeth (Cymru)'!C$110/40)))</f>
        <v>30977.099896871325</v>
      </c>
      <c r="E51" s="57">
        <f>D51*(1+'Rhaniad y Ddeiliadaeth (Cymru)'!D$109)+(D$44*(-(50-$B51)*('Rhaniad y Ddeiliadaeth (Cymru)'!D$110/40)))</f>
        <v>31820.358423113859</v>
      </c>
      <c r="F51" s="57">
        <f>E51*(1+'Rhaniad y Ddeiliadaeth (Cymru)'!E$109)+(E$44*(-(50-$B51)*('Rhaniad y Ddeiliadaeth (Cymru)'!E$110/40)))</f>
        <v>32912.165585574046</v>
      </c>
      <c r="G51" s="57">
        <f>F51*(1+'Rhaniad y Ddeiliadaeth (Cymru)'!F$109)+(F$44*(-(50-$B51)*('Rhaniad y Ddeiliadaeth (Cymru)'!F$110/40)))</f>
        <v>34182.319545427505</v>
      </c>
      <c r="H51" s="58">
        <f>G51*(1+'Rhaniad y Ddeiliadaeth (Cymru)'!G$109)+(G$44*(-(50-$B51)*('Rhaniad y Ddeiliadaeth (Cymru)'!G$110/40)))</f>
        <v>35534.791507614806</v>
      </c>
      <c r="L51" s="62" t="str">
        <f t="shared" si="4"/>
        <v/>
      </c>
      <c r="M51" s="227"/>
      <c r="N51" s="14">
        <f t="shared" si="3"/>
        <v>1</v>
      </c>
      <c r="T51" s="1">
        <f t="shared" si="5"/>
        <v>57</v>
      </c>
      <c r="U51" s="4" t="str">
        <f t="shared" si="6"/>
        <v/>
      </c>
      <c r="V51" s="4" t="e">
        <f>IF($V$3=$M$3,M51,U51*(1+'Rhaniad y Ddeiliadaeth (Cymru)'!C$109)+(U$44*(-(50-$T51)*('Rhaniad y Ddeiliadaeth (Cymru)'!C$110/40))))</f>
        <v>#VALUE!</v>
      </c>
      <c r="W51" s="4" t="e">
        <f>V51*(1+'Rhaniad y Ddeiliadaeth (Cymru)'!D$109)+(V$44*(-(50-$T51)*('Rhaniad y Ddeiliadaeth (Cymru)'!D$110/40)))</f>
        <v>#VALUE!</v>
      </c>
      <c r="X51" s="4" t="e">
        <f>W51*(1+'Rhaniad y Ddeiliadaeth (Cymru)'!E$109)+(W$44*(-(50-$T51)*('Rhaniad y Ddeiliadaeth (Cymru)'!E$110/40)))</f>
        <v>#VALUE!</v>
      </c>
      <c r="Y51" s="4" t="e">
        <f>X51*(1+'Rhaniad y Ddeiliadaeth (Cymru)'!F$109)+(X$44*(-(50-$T51)*('Rhaniad y Ddeiliadaeth (Cymru)'!F$110/40)))</f>
        <v>#VALUE!</v>
      </c>
      <c r="Z51" s="4" t="e">
        <f>Y51*(1+'Rhaniad y Ddeiliadaeth (Cymru)'!G$109)+(Y$44*(-(50-$T51)*('Rhaniad y Ddeiliadaeth (Cymru)'!G$110/40)))</f>
        <v>#VALUE!</v>
      </c>
      <c r="AB51">
        <v>57</v>
      </c>
      <c r="AC51" s="4">
        <f>IF('Rhaniad y Ddeiliadaeth (Cymru)'!$D$8="Amcangyfrifon LlC",'Incwm (Cymru)'!D51,'Incwm (Cymru)'!V51)</f>
        <v>30977.099896871325</v>
      </c>
      <c r="AD51" s="4">
        <f>IF('Rhaniad y Ddeiliadaeth (Cymru)'!$D$8="Amcangyfrifon LlC",'Incwm (Cymru)'!E51,'Incwm (Cymru)'!W51)</f>
        <v>31820.358423113859</v>
      </c>
      <c r="AE51" s="4">
        <f>IF('Rhaniad y Ddeiliadaeth (Cymru)'!$D$8="Amcangyfrifon LlC",'Incwm (Cymru)'!F51,'Incwm (Cymru)'!X51)</f>
        <v>32912.165585574046</v>
      </c>
      <c r="AF51" s="4">
        <f>IF('Rhaniad y Ddeiliadaeth (Cymru)'!$D$8="Amcangyfrifon LlC",'Incwm (Cymru)'!G51,'Incwm (Cymru)'!Y51)</f>
        <v>34182.319545427505</v>
      </c>
      <c r="AG51" s="4">
        <f>IF('Rhaniad y Ddeiliadaeth (Cymru)'!$D$8="Amcangyfrifon LlC",'Incwm (Cymru)'!H51,'Incwm (Cymru)'!Z51)</f>
        <v>35534.791507614806</v>
      </c>
    </row>
    <row r="52" spans="2:33" x14ac:dyDescent="0.25">
      <c r="B52" s="20">
        <v>58</v>
      </c>
      <c r="C52" s="56">
        <v>30399.26</v>
      </c>
      <c r="D52" s="57">
        <f>C52*(1+'Rhaniad y Ddeiliadaeth (Cymru)'!C$109)+(C$44*(-(50-$B52)*('Rhaniad y Ddeiliadaeth (Cymru)'!C$110/40)))</f>
        <v>31526.364145517771</v>
      </c>
      <c r="E52" s="57">
        <f>D52*(1+'Rhaniad y Ddeiliadaeth (Cymru)'!D$109)+(D$44*(-(50-$B52)*('Rhaniad y Ddeiliadaeth (Cymru)'!D$110/40)))</f>
        <v>32390.430666865421</v>
      </c>
      <c r="F52" s="57">
        <f>E52*(1+'Rhaniad y Ddeiliadaeth (Cymru)'!E$109)+(E$44*(-(50-$B52)*('Rhaniad y Ddeiliadaeth (Cymru)'!E$110/40)))</f>
        <v>33507.795569659967</v>
      </c>
      <c r="G52" s="57">
        <f>F52*(1+'Rhaniad y Ddeiliadaeth (Cymru)'!F$109)+(F$44*(-(50-$B52)*('Rhaniad y Ddeiliadaeth (Cymru)'!F$110/40)))</f>
        <v>34807.121580923587</v>
      </c>
      <c r="H52" s="58">
        <f>G52*(1+'Rhaniad y Ddeiliadaeth (Cymru)'!G$109)+(G$44*(-(50-$B52)*('Rhaniad y Ddeiliadaeth (Cymru)'!G$110/40)))</f>
        <v>36190.720167665459</v>
      </c>
      <c r="L52" s="62" t="str">
        <f t="shared" si="4"/>
        <v/>
      </c>
      <c r="M52" s="227"/>
      <c r="N52" s="14">
        <f t="shared" si="3"/>
        <v>1</v>
      </c>
      <c r="T52" s="1">
        <f t="shared" si="5"/>
        <v>58</v>
      </c>
      <c r="U52" s="4" t="str">
        <f t="shared" si="6"/>
        <v/>
      </c>
      <c r="V52" s="4" t="e">
        <f>IF($V$3=$M$3,M52,U52*(1+'Rhaniad y Ddeiliadaeth (Cymru)'!C$109)+(U$44*(-(50-$T52)*('Rhaniad y Ddeiliadaeth (Cymru)'!C$110/40))))</f>
        <v>#VALUE!</v>
      </c>
      <c r="W52" s="4" t="e">
        <f>V52*(1+'Rhaniad y Ddeiliadaeth (Cymru)'!D$109)+(V$44*(-(50-$T52)*('Rhaniad y Ddeiliadaeth (Cymru)'!D$110/40)))</f>
        <v>#VALUE!</v>
      </c>
      <c r="X52" s="4" t="e">
        <f>W52*(1+'Rhaniad y Ddeiliadaeth (Cymru)'!E$109)+(W$44*(-(50-$T52)*('Rhaniad y Ddeiliadaeth (Cymru)'!E$110/40)))</f>
        <v>#VALUE!</v>
      </c>
      <c r="Y52" s="4" t="e">
        <f>X52*(1+'Rhaniad y Ddeiliadaeth (Cymru)'!F$109)+(X$44*(-(50-$T52)*('Rhaniad y Ddeiliadaeth (Cymru)'!F$110/40)))</f>
        <v>#VALUE!</v>
      </c>
      <c r="Z52" s="4" t="e">
        <f>Y52*(1+'Rhaniad y Ddeiliadaeth (Cymru)'!G$109)+(Y$44*(-(50-$T52)*('Rhaniad y Ddeiliadaeth (Cymru)'!G$110/40)))</f>
        <v>#VALUE!</v>
      </c>
      <c r="AB52">
        <v>58</v>
      </c>
      <c r="AC52" s="4">
        <f>IF('Rhaniad y Ddeiliadaeth (Cymru)'!$D$8="Amcangyfrifon LlC",'Incwm (Cymru)'!D52,'Incwm (Cymru)'!V52)</f>
        <v>31526.364145517771</v>
      </c>
      <c r="AD52" s="4">
        <f>IF('Rhaniad y Ddeiliadaeth (Cymru)'!$D$8="Amcangyfrifon LlC",'Incwm (Cymru)'!E52,'Incwm (Cymru)'!W52)</f>
        <v>32390.430666865421</v>
      </c>
      <c r="AE52" s="4">
        <f>IF('Rhaniad y Ddeiliadaeth (Cymru)'!$D$8="Amcangyfrifon LlC",'Incwm (Cymru)'!F52,'Incwm (Cymru)'!X52)</f>
        <v>33507.795569659967</v>
      </c>
      <c r="AF52" s="4">
        <f>IF('Rhaniad y Ddeiliadaeth (Cymru)'!$D$8="Amcangyfrifon LlC",'Incwm (Cymru)'!G52,'Incwm (Cymru)'!Y52)</f>
        <v>34807.121580923587</v>
      </c>
      <c r="AG52" s="4">
        <f>IF('Rhaniad y Ddeiliadaeth (Cymru)'!$D$8="Amcangyfrifon LlC",'Incwm (Cymru)'!H52,'Incwm (Cymru)'!Z52)</f>
        <v>36190.720167665459</v>
      </c>
    </row>
    <row r="53" spans="2:33" x14ac:dyDescent="0.25">
      <c r="B53" s="20">
        <v>59</v>
      </c>
      <c r="C53" s="56">
        <v>30953.5</v>
      </c>
      <c r="D53" s="57">
        <f>C53*(1+'Rhaniad y Ddeiliadaeth (Cymru)'!C$109)+(C$44*(-(50-$B53)*('Rhaniad y Ddeiliadaeth (Cymru)'!C$110/40)))</f>
        <v>32106.669007496665</v>
      </c>
      <c r="E53" s="57">
        <f>D53*(1+'Rhaniad y Ddeiliadaeth (Cymru)'!D$109)+(D$44*(-(50-$B53)*('Rhaniad y Ddeiliadaeth (Cymru)'!D$110/40)))</f>
        <v>32992.341615195655</v>
      </c>
      <c r="F53" s="57">
        <f>E53*(1+'Rhaniad y Ddeiliadaeth (Cymru)'!E$109)+(E$44*(-(50-$B53)*('Rhaniad y Ddeiliadaeth (Cymru)'!E$110/40)))</f>
        <v>34136.308663718599</v>
      </c>
      <c r="G53" s="57">
        <f>F53*(1+'Rhaniad y Ddeiliadaeth (Cymru)'!F$109)+(F$44*(-(50-$B53)*('Rhaniad y Ddeiliadaeth (Cymru)'!F$110/40)))</f>
        <v>35466.026224560577</v>
      </c>
      <c r="H53" s="58">
        <f>G53*(1+'Rhaniad y Ddeiliadaeth (Cymru)'!G$109)+(G$44*(-(50-$B53)*('Rhaniad y Ddeiliadaeth (Cymru)'!G$110/40)))</f>
        <v>36882.049456935209</v>
      </c>
      <c r="L53" s="62" t="str">
        <f t="shared" si="4"/>
        <v/>
      </c>
      <c r="M53" s="227"/>
      <c r="N53" s="14">
        <f t="shared" si="3"/>
        <v>1</v>
      </c>
      <c r="T53" s="1">
        <f t="shared" si="5"/>
        <v>59</v>
      </c>
      <c r="U53" s="4" t="str">
        <f t="shared" si="6"/>
        <v/>
      </c>
      <c r="V53" s="4" t="e">
        <f>IF($V$3=$M$3,M53,U53*(1+'Rhaniad y Ddeiliadaeth (Cymru)'!C$109)+(U$44*(-(50-$T53)*('Rhaniad y Ddeiliadaeth (Cymru)'!C$110/40))))</f>
        <v>#VALUE!</v>
      </c>
      <c r="W53" s="4" t="e">
        <f>V53*(1+'Rhaniad y Ddeiliadaeth (Cymru)'!D$109)+(V$44*(-(50-$T53)*('Rhaniad y Ddeiliadaeth (Cymru)'!D$110/40)))</f>
        <v>#VALUE!</v>
      </c>
      <c r="X53" s="4" t="e">
        <f>W53*(1+'Rhaniad y Ddeiliadaeth (Cymru)'!E$109)+(W$44*(-(50-$T53)*('Rhaniad y Ddeiliadaeth (Cymru)'!E$110/40)))</f>
        <v>#VALUE!</v>
      </c>
      <c r="Y53" s="4" t="e">
        <f>X53*(1+'Rhaniad y Ddeiliadaeth (Cymru)'!F$109)+(X$44*(-(50-$T53)*('Rhaniad y Ddeiliadaeth (Cymru)'!F$110/40)))</f>
        <v>#VALUE!</v>
      </c>
      <c r="Z53" s="4" t="e">
        <f>Y53*(1+'Rhaniad y Ddeiliadaeth (Cymru)'!G$109)+(Y$44*(-(50-$T53)*('Rhaniad y Ddeiliadaeth (Cymru)'!G$110/40)))</f>
        <v>#VALUE!</v>
      </c>
      <c r="AB53">
        <v>59</v>
      </c>
      <c r="AC53" s="4">
        <f>IF('Rhaniad y Ddeiliadaeth (Cymru)'!$D$8="Amcangyfrifon LlC",'Incwm (Cymru)'!D53,'Incwm (Cymru)'!V53)</f>
        <v>32106.669007496665</v>
      </c>
      <c r="AD53" s="4">
        <f>IF('Rhaniad y Ddeiliadaeth (Cymru)'!$D$8="Amcangyfrifon LlC",'Incwm (Cymru)'!E53,'Incwm (Cymru)'!W53)</f>
        <v>32992.341615195655</v>
      </c>
      <c r="AE53" s="4">
        <f>IF('Rhaniad y Ddeiliadaeth (Cymru)'!$D$8="Amcangyfrifon LlC",'Incwm (Cymru)'!F53,'Incwm (Cymru)'!X53)</f>
        <v>34136.308663718599</v>
      </c>
      <c r="AF53" s="4">
        <f>IF('Rhaniad y Ddeiliadaeth (Cymru)'!$D$8="Amcangyfrifon LlC",'Incwm (Cymru)'!G53,'Incwm (Cymru)'!Y53)</f>
        <v>35466.026224560577</v>
      </c>
      <c r="AG53" s="4">
        <f>IF('Rhaniad y Ddeiliadaeth (Cymru)'!$D$8="Amcangyfrifon LlC",'Incwm (Cymru)'!H53,'Incwm (Cymru)'!Z53)</f>
        <v>36882.049456935209</v>
      </c>
    </row>
    <row r="54" spans="2:33" x14ac:dyDescent="0.25">
      <c r="B54" s="20">
        <v>60</v>
      </c>
      <c r="C54" s="56">
        <v>31647.08</v>
      </c>
      <c r="D54" s="57">
        <f>C54*(1+'Rhaniad y Ddeiliadaeth (Cymru)'!C$109)+(C$44*(-(50-$B54)*('Rhaniad y Ddeiliadaeth (Cymru)'!C$110/40)))</f>
        <v>32831.243351188161</v>
      </c>
      <c r="E54" s="57">
        <f>D54*(1+'Rhaniad y Ddeiliadaeth (Cymru)'!D$109)+(D$44*(-(50-$B54)*('Rhaniad y Ddeiliadaeth (Cymru)'!D$110/40)))</f>
        <v>33742.231385940649</v>
      </c>
      <c r="F54" s="57">
        <f>E54*(1+'Rhaniad y Ddeiliadaeth (Cymru)'!E$109)+(E$44*(-(50-$B54)*('Rhaniad y Ddeiliadaeth (Cymru)'!E$110/40)))</f>
        <v>34917.654731212897</v>
      </c>
      <c r="G54" s="57">
        <f>F54*(1+'Rhaniad y Ddeiliadaeth (Cymru)'!F$109)+(F$44*(-(50-$B54)*('Rhaniad y Ddeiliadaeth (Cymru)'!F$110/40)))</f>
        <v>36283.431782752581</v>
      </c>
      <c r="H54" s="58">
        <f>G54*(1+'Rhaniad y Ddeiliadaeth (Cymru)'!G$109)+(G$44*(-(50-$B54)*('Rhaniad y Ddeiliadaeth (Cymru)'!G$110/40)))</f>
        <v>37737.91255792584</v>
      </c>
      <c r="L54" s="62" t="str">
        <f t="shared" si="4"/>
        <v/>
      </c>
      <c r="M54" s="227"/>
      <c r="N54" s="14">
        <f t="shared" si="3"/>
        <v>1</v>
      </c>
      <c r="T54" s="1">
        <f t="shared" si="5"/>
        <v>60</v>
      </c>
      <c r="U54" s="4" t="str">
        <f t="shared" si="6"/>
        <v/>
      </c>
      <c r="V54" s="4" t="e">
        <f>IF($V$3=$M$3,M54,U54*(1+'Rhaniad y Ddeiliadaeth (Cymru)'!C$109)+(U$44*(-(50-$T54)*('Rhaniad y Ddeiliadaeth (Cymru)'!C$110/40))))</f>
        <v>#VALUE!</v>
      </c>
      <c r="W54" s="4" t="e">
        <f>V54*(1+'Rhaniad y Ddeiliadaeth (Cymru)'!D$109)+(V$44*(-(50-$T54)*('Rhaniad y Ddeiliadaeth (Cymru)'!D$110/40)))</f>
        <v>#VALUE!</v>
      </c>
      <c r="X54" s="4" t="e">
        <f>W54*(1+'Rhaniad y Ddeiliadaeth (Cymru)'!E$109)+(W$44*(-(50-$T54)*('Rhaniad y Ddeiliadaeth (Cymru)'!E$110/40)))</f>
        <v>#VALUE!</v>
      </c>
      <c r="Y54" s="4" t="e">
        <f>X54*(1+'Rhaniad y Ddeiliadaeth (Cymru)'!F$109)+(X$44*(-(50-$T54)*('Rhaniad y Ddeiliadaeth (Cymru)'!F$110/40)))</f>
        <v>#VALUE!</v>
      </c>
      <c r="Z54" s="4" t="e">
        <f>Y54*(1+'Rhaniad y Ddeiliadaeth (Cymru)'!G$109)+(Y$44*(-(50-$T54)*('Rhaniad y Ddeiliadaeth (Cymru)'!G$110/40)))</f>
        <v>#VALUE!</v>
      </c>
      <c r="AB54">
        <v>60</v>
      </c>
      <c r="AC54" s="4">
        <f>IF('Rhaniad y Ddeiliadaeth (Cymru)'!$D$8="Amcangyfrifon LlC",'Incwm (Cymru)'!D54,'Incwm (Cymru)'!V54)</f>
        <v>32831.243351188161</v>
      </c>
      <c r="AD54" s="4">
        <f>IF('Rhaniad y Ddeiliadaeth (Cymru)'!$D$8="Amcangyfrifon LlC",'Incwm (Cymru)'!E54,'Incwm (Cymru)'!W54)</f>
        <v>33742.231385940649</v>
      </c>
      <c r="AE54" s="4">
        <f>IF('Rhaniad y Ddeiliadaeth (Cymru)'!$D$8="Amcangyfrifon LlC",'Incwm (Cymru)'!F54,'Incwm (Cymru)'!X54)</f>
        <v>34917.654731212897</v>
      </c>
      <c r="AF54" s="4">
        <f>IF('Rhaniad y Ddeiliadaeth (Cymru)'!$D$8="Amcangyfrifon LlC",'Incwm (Cymru)'!G54,'Incwm (Cymru)'!Y54)</f>
        <v>36283.431782752581</v>
      </c>
      <c r="AG54" s="4">
        <f>IF('Rhaniad y Ddeiliadaeth (Cymru)'!$D$8="Amcangyfrifon LlC",'Incwm (Cymru)'!H54,'Incwm (Cymru)'!Z54)</f>
        <v>37737.91255792584</v>
      </c>
    </row>
    <row r="55" spans="2:33" x14ac:dyDescent="0.25">
      <c r="B55" s="20">
        <v>61</v>
      </c>
      <c r="C55" s="56">
        <v>32125</v>
      </c>
      <c r="D55" s="57">
        <f>C55*(1+'Rhaniad y Ddeiliadaeth (Cymru)'!C$109)+(C$44*(-(50-$B55)*('Rhaniad y Ddeiliadaeth (Cymru)'!C$110/40)))</f>
        <v>33332.52821284908</v>
      </c>
      <c r="E55" s="57">
        <f>D55*(1+'Rhaniad y Ddeiliadaeth (Cymru)'!D$109)+(D$44*(-(50-$B55)*('Rhaniad y Ddeiliadaeth (Cymru)'!D$110/40)))</f>
        <v>34263.090635356755</v>
      </c>
      <c r="F55" s="57">
        <f>E55*(1+'Rhaniad y Ddeiliadaeth (Cymru)'!E$109)+(E$44*(-(50-$B55)*('Rhaniad y Ddeiliadaeth (Cymru)'!E$110/40)))</f>
        <v>35462.457386541733</v>
      </c>
      <c r="G55" s="57">
        <f>F55*(1+'Rhaniad y Ddeiliadaeth (Cymru)'!F$109)+(F$44*(-(50-$B55)*('Rhaniad y Ddeiliadaeth (Cymru)'!F$110/40)))</f>
        <v>36855.521514671214</v>
      </c>
      <c r="H55" s="58">
        <f>G55*(1+'Rhaniad y Ddeiliadaeth (Cymru)'!G$109)+(G$44*(-(50-$B55)*('Rhaniad y Ddeiliadaeth (Cymru)'!G$110/40)))</f>
        <v>38339.122566941987</v>
      </c>
      <c r="L55" s="62" t="str">
        <f t="shared" si="4"/>
        <v/>
      </c>
      <c r="M55" s="227"/>
      <c r="N55" s="14">
        <f t="shared" si="3"/>
        <v>1</v>
      </c>
      <c r="T55" s="1">
        <f t="shared" si="5"/>
        <v>61</v>
      </c>
      <c r="U55" s="4" t="str">
        <f t="shared" si="6"/>
        <v/>
      </c>
      <c r="V55" s="4" t="e">
        <f>IF($V$3=$M$3,M55,U55*(1+'Rhaniad y Ddeiliadaeth (Cymru)'!C$109)+(U$44*(-(50-$T55)*('Rhaniad y Ddeiliadaeth (Cymru)'!C$110/40))))</f>
        <v>#VALUE!</v>
      </c>
      <c r="W55" s="4" t="e">
        <f>V55*(1+'Rhaniad y Ddeiliadaeth (Cymru)'!D$109)+(V$44*(-(50-$T55)*('Rhaniad y Ddeiliadaeth (Cymru)'!D$110/40)))</f>
        <v>#VALUE!</v>
      </c>
      <c r="X55" s="4" t="e">
        <f>W55*(1+'Rhaniad y Ddeiliadaeth (Cymru)'!E$109)+(W$44*(-(50-$T55)*('Rhaniad y Ddeiliadaeth (Cymru)'!E$110/40)))</f>
        <v>#VALUE!</v>
      </c>
      <c r="Y55" s="4" t="e">
        <f>X55*(1+'Rhaniad y Ddeiliadaeth (Cymru)'!F$109)+(X$44*(-(50-$T55)*('Rhaniad y Ddeiliadaeth (Cymru)'!F$110/40)))</f>
        <v>#VALUE!</v>
      </c>
      <c r="Z55" s="4" t="e">
        <f>Y55*(1+'Rhaniad y Ddeiliadaeth (Cymru)'!G$109)+(Y$44*(-(50-$T55)*('Rhaniad y Ddeiliadaeth (Cymru)'!G$110/40)))</f>
        <v>#VALUE!</v>
      </c>
      <c r="AB55">
        <v>61</v>
      </c>
      <c r="AC55" s="4">
        <f>IF('Rhaniad y Ddeiliadaeth (Cymru)'!$D$8="Amcangyfrifon LlC",'Incwm (Cymru)'!D55,'Incwm (Cymru)'!V55)</f>
        <v>33332.52821284908</v>
      </c>
      <c r="AD55" s="4">
        <f>IF('Rhaniad y Ddeiliadaeth (Cymru)'!$D$8="Amcangyfrifon LlC",'Incwm (Cymru)'!E55,'Incwm (Cymru)'!W55)</f>
        <v>34263.090635356755</v>
      </c>
      <c r="AE55" s="4">
        <f>IF('Rhaniad y Ddeiliadaeth (Cymru)'!$D$8="Amcangyfrifon LlC",'Incwm (Cymru)'!F55,'Incwm (Cymru)'!X55)</f>
        <v>35462.457386541733</v>
      </c>
      <c r="AF55" s="4">
        <f>IF('Rhaniad y Ddeiliadaeth (Cymru)'!$D$8="Amcangyfrifon LlC",'Incwm (Cymru)'!G55,'Incwm (Cymru)'!Y55)</f>
        <v>36855.521514671214</v>
      </c>
      <c r="AG55" s="4">
        <f>IF('Rhaniad y Ddeiliadaeth (Cymru)'!$D$8="Amcangyfrifon LlC",'Incwm (Cymru)'!H55,'Incwm (Cymru)'!Z55)</f>
        <v>38339.122566941987</v>
      </c>
    </row>
    <row r="56" spans="2:33" x14ac:dyDescent="0.25">
      <c r="B56" s="20">
        <v>62</v>
      </c>
      <c r="C56" s="56">
        <v>32819.949999999997</v>
      </c>
      <c r="D56" s="57">
        <f>C56*(1+'Rhaniad y Ddeiliadaeth (Cymru)'!C$109)+(C$44*(-(50-$B56)*('Rhaniad y Ddeiliadaeth (Cymru)'!C$110/40)))</f>
        <v>34058.521023527413</v>
      </c>
      <c r="E56" s="57">
        <f>D56*(1+'Rhaniad y Ddeiliadaeth (Cymru)'!D$109)+(D$44*(-(50-$B56)*('Rhaniad y Ddeiliadaeth (Cymru)'!D$110/40)))</f>
        <v>35014.435343569152</v>
      </c>
      <c r="F56" s="57">
        <f>E56*(1+'Rhaniad y Ddeiliadaeth (Cymru)'!E$109)+(E$44*(-(50-$B56)*('Rhaniad y Ddeiliadaeth (Cymru)'!E$110/40)))</f>
        <v>36245.306117833985</v>
      </c>
      <c r="G56" s="57">
        <f>F56*(1+'Rhaniad y Ddeiliadaeth (Cymru)'!F$109)+(F$44*(-(50-$B56)*('Rhaniad y Ddeiliadaeth (Cymru)'!F$110/40)))</f>
        <v>37674.485464229227</v>
      </c>
      <c r="H56" s="58">
        <f>G56*(1+'Rhaniad y Ddeiliadaeth (Cymru)'!G$109)+(G$44*(-(50-$B56)*('Rhaniad y Ddeiliadaeth (Cymru)'!G$110/40)))</f>
        <v>39196.603375138424</v>
      </c>
      <c r="L56" s="62" t="str">
        <f t="shared" si="4"/>
        <v/>
      </c>
      <c r="M56" s="227"/>
      <c r="N56" s="14">
        <f t="shared" si="3"/>
        <v>1</v>
      </c>
      <c r="T56" s="1">
        <f t="shared" si="5"/>
        <v>62</v>
      </c>
      <c r="U56" s="4" t="str">
        <f t="shared" si="6"/>
        <v/>
      </c>
      <c r="V56" s="4" t="e">
        <f>IF($V$3=$M$3,M56,U56*(1+'Rhaniad y Ddeiliadaeth (Cymru)'!C$109)+(U$44*(-(50-$T56)*('Rhaniad y Ddeiliadaeth (Cymru)'!C$110/40))))</f>
        <v>#VALUE!</v>
      </c>
      <c r="W56" s="4" t="e">
        <f>V56*(1+'Rhaniad y Ddeiliadaeth (Cymru)'!D$109)+(V$44*(-(50-$T56)*('Rhaniad y Ddeiliadaeth (Cymru)'!D$110/40)))</f>
        <v>#VALUE!</v>
      </c>
      <c r="X56" s="4" t="e">
        <f>W56*(1+'Rhaniad y Ddeiliadaeth (Cymru)'!E$109)+(W$44*(-(50-$T56)*('Rhaniad y Ddeiliadaeth (Cymru)'!E$110/40)))</f>
        <v>#VALUE!</v>
      </c>
      <c r="Y56" s="4" t="e">
        <f>X56*(1+'Rhaniad y Ddeiliadaeth (Cymru)'!F$109)+(X$44*(-(50-$T56)*('Rhaniad y Ddeiliadaeth (Cymru)'!F$110/40)))</f>
        <v>#VALUE!</v>
      </c>
      <c r="Z56" s="4" t="e">
        <f>Y56*(1+'Rhaniad y Ddeiliadaeth (Cymru)'!G$109)+(Y$44*(-(50-$T56)*('Rhaniad y Ddeiliadaeth (Cymru)'!G$110/40)))</f>
        <v>#VALUE!</v>
      </c>
      <c r="AB56">
        <v>62</v>
      </c>
      <c r="AC56" s="4">
        <f>IF('Rhaniad y Ddeiliadaeth (Cymru)'!$D$8="Amcangyfrifon LlC",'Incwm (Cymru)'!D56,'Incwm (Cymru)'!V56)</f>
        <v>34058.521023527413</v>
      </c>
      <c r="AD56" s="4">
        <f>IF('Rhaniad y Ddeiliadaeth (Cymru)'!$D$8="Amcangyfrifon LlC",'Incwm (Cymru)'!E56,'Incwm (Cymru)'!W56)</f>
        <v>35014.435343569152</v>
      </c>
      <c r="AE56" s="4">
        <f>IF('Rhaniad y Ddeiliadaeth (Cymru)'!$D$8="Amcangyfrifon LlC",'Incwm (Cymru)'!F56,'Incwm (Cymru)'!X56)</f>
        <v>36245.306117833985</v>
      </c>
      <c r="AF56" s="4">
        <f>IF('Rhaniad y Ddeiliadaeth (Cymru)'!$D$8="Amcangyfrifon LlC",'Incwm (Cymru)'!G56,'Incwm (Cymru)'!Y56)</f>
        <v>37674.485464229227</v>
      </c>
      <c r="AG56" s="4">
        <f>IF('Rhaniad y Ddeiliadaeth (Cymru)'!$D$8="Amcangyfrifon LlC",'Incwm (Cymru)'!H56,'Incwm (Cymru)'!Z56)</f>
        <v>39196.603375138424</v>
      </c>
    </row>
    <row r="57" spans="2:33" x14ac:dyDescent="0.25">
      <c r="B57" s="20">
        <v>63</v>
      </c>
      <c r="C57" s="56">
        <v>33642</v>
      </c>
      <c r="D57" s="57">
        <f>C57*(1+'Rhaniad y Ddeiliadaeth (Cymru)'!C$109)+(C$44*(-(50-$B57)*('Rhaniad y Ddeiliadaeth (Cymru)'!C$110/40)))</f>
        <v>34916.110296999424</v>
      </c>
      <c r="E57" s="57">
        <f>D57*(1+'Rhaniad y Ddeiliadaeth (Cymru)'!D$109)+(D$44*(-(50-$B57)*('Rhaniad y Ddeiliadaeth (Cymru)'!D$110/40)))</f>
        <v>35900.760016823268</v>
      </c>
      <c r="F57" s="57">
        <f>E57*(1+'Rhaniad y Ddeiliadaeth (Cymru)'!E$109)+(E$44*(-(50-$B57)*('Rhaniad y Ddeiliadaeth (Cymru)'!E$110/40)))</f>
        <v>37167.562563520296</v>
      </c>
      <c r="G57" s="57">
        <f>F57*(1+'Rhaniad y Ddeiliadaeth (Cymru)'!F$109)+(F$44*(-(50-$B57)*('Rhaniad y Ddeiliadaeth (Cymru)'!F$110/40)))</f>
        <v>38638.027182123224</v>
      </c>
      <c r="H57" s="58">
        <f>G57*(1+'Rhaniad y Ddeiliadaeth (Cymru)'!G$109)+(G$44*(-(50-$B57)*('Rhaniad y Ddeiliadaeth (Cymru)'!G$110/40)))</f>
        <v>40204.164902939556</v>
      </c>
      <c r="L57" s="62" t="str">
        <f t="shared" si="4"/>
        <v/>
      </c>
      <c r="M57" s="227"/>
      <c r="N57" s="14">
        <f t="shared" si="3"/>
        <v>1</v>
      </c>
      <c r="T57" s="1">
        <f t="shared" si="5"/>
        <v>63</v>
      </c>
      <c r="U57" s="4" t="str">
        <f t="shared" si="6"/>
        <v/>
      </c>
      <c r="V57" s="4" t="e">
        <f>IF($V$3=$M$3,M57,U57*(1+'Rhaniad y Ddeiliadaeth (Cymru)'!C$109)+(U$44*(-(50-$T57)*('Rhaniad y Ddeiliadaeth (Cymru)'!C$110/40))))</f>
        <v>#VALUE!</v>
      </c>
      <c r="W57" s="4" t="e">
        <f>V57*(1+'Rhaniad y Ddeiliadaeth (Cymru)'!D$109)+(V$44*(-(50-$T57)*('Rhaniad y Ddeiliadaeth (Cymru)'!D$110/40)))</f>
        <v>#VALUE!</v>
      </c>
      <c r="X57" s="4" t="e">
        <f>W57*(1+'Rhaniad y Ddeiliadaeth (Cymru)'!E$109)+(W$44*(-(50-$T57)*('Rhaniad y Ddeiliadaeth (Cymru)'!E$110/40)))</f>
        <v>#VALUE!</v>
      </c>
      <c r="Y57" s="4" t="e">
        <f>X57*(1+'Rhaniad y Ddeiliadaeth (Cymru)'!F$109)+(X$44*(-(50-$T57)*('Rhaniad y Ddeiliadaeth (Cymru)'!F$110/40)))</f>
        <v>#VALUE!</v>
      </c>
      <c r="Z57" s="4" t="e">
        <f>Y57*(1+'Rhaniad y Ddeiliadaeth (Cymru)'!G$109)+(Y$44*(-(50-$T57)*('Rhaniad y Ddeiliadaeth (Cymru)'!G$110/40)))</f>
        <v>#VALUE!</v>
      </c>
      <c r="AB57">
        <v>63</v>
      </c>
      <c r="AC57" s="4">
        <f>IF('Rhaniad y Ddeiliadaeth (Cymru)'!$D$8="Amcangyfrifon LlC",'Incwm (Cymru)'!D57,'Incwm (Cymru)'!V57)</f>
        <v>34916.110296999424</v>
      </c>
      <c r="AD57" s="4">
        <f>IF('Rhaniad y Ddeiliadaeth (Cymru)'!$D$8="Amcangyfrifon LlC",'Incwm (Cymru)'!E57,'Incwm (Cymru)'!W57)</f>
        <v>35900.760016823268</v>
      </c>
      <c r="AE57" s="4">
        <f>IF('Rhaniad y Ddeiliadaeth (Cymru)'!$D$8="Amcangyfrifon LlC",'Incwm (Cymru)'!F57,'Incwm (Cymru)'!X57)</f>
        <v>37167.562563520296</v>
      </c>
      <c r="AF57" s="4">
        <f>IF('Rhaniad y Ddeiliadaeth (Cymru)'!$D$8="Amcangyfrifon LlC",'Incwm (Cymru)'!G57,'Incwm (Cymru)'!Y57)</f>
        <v>38638.027182123224</v>
      </c>
      <c r="AG57" s="4">
        <f>IF('Rhaniad y Ddeiliadaeth (Cymru)'!$D$8="Amcangyfrifon LlC",'Incwm (Cymru)'!H57,'Incwm (Cymru)'!Z57)</f>
        <v>40204.164902939556</v>
      </c>
    </row>
    <row r="58" spans="2:33" x14ac:dyDescent="0.25">
      <c r="B58" s="20">
        <v>64</v>
      </c>
      <c r="C58" s="56">
        <v>34407.762499999997</v>
      </c>
      <c r="D58" s="57">
        <f>C58*(1+'Rhaniad y Ddeiliadaeth (Cymru)'!C$109)+(C$44*(-(50-$B58)*('Rhaniad y Ddeiliadaeth (Cymru)'!C$110/40)))</f>
        <v>35715.420767170879</v>
      </c>
      <c r="E58" s="57">
        <f>D58*(1+'Rhaniad y Ddeiliadaeth (Cymru)'!D$109)+(D$44*(-(50-$B58)*('Rhaniad y Ddeiliadaeth (Cymru)'!D$110/40)))</f>
        <v>36727.307469130974</v>
      </c>
      <c r="F58" s="57">
        <f>E58*(1+'Rhaniad y Ddeiliadaeth (Cymru)'!E$109)+(E$44*(-(50-$B58)*('Rhaniad y Ddeiliadaeth (Cymru)'!E$110/40)))</f>
        <v>38028.080915391045</v>
      </c>
      <c r="G58" s="57">
        <f>F58*(1+'Rhaniad y Ddeiliadaeth (Cymru)'!F$109)+(F$44*(-(50-$B58)*('Rhaniad y Ddeiliadaeth (Cymru)'!F$110/40)))</f>
        <v>39537.541196356993</v>
      </c>
      <c r="H58" s="58">
        <f>G58*(1+'Rhaniad y Ddeiliadaeth (Cymru)'!G$109)+(G$44*(-(50-$B58)*('Rhaniad y Ddeiliadaeth (Cymru)'!G$110/40)))</f>
        <v>41145.261690341365</v>
      </c>
      <c r="L58" s="62" t="str">
        <f t="shared" si="4"/>
        <v/>
      </c>
      <c r="M58" s="227"/>
      <c r="N58" s="14">
        <f t="shared" si="3"/>
        <v>1</v>
      </c>
      <c r="T58" s="1">
        <f t="shared" si="5"/>
        <v>64</v>
      </c>
      <c r="U58" s="4" t="str">
        <f t="shared" si="6"/>
        <v/>
      </c>
      <c r="V58" s="4" t="e">
        <f>IF($V$3=$M$3,M58,U58*(1+'Rhaniad y Ddeiliadaeth (Cymru)'!C$109)+(U$44*(-(50-$T58)*('Rhaniad y Ddeiliadaeth (Cymru)'!C$110/40))))</f>
        <v>#VALUE!</v>
      </c>
      <c r="W58" s="4" t="e">
        <f>V58*(1+'Rhaniad y Ddeiliadaeth (Cymru)'!D$109)+(V$44*(-(50-$T58)*('Rhaniad y Ddeiliadaeth (Cymru)'!D$110/40)))</f>
        <v>#VALUE!</v>
      </c>
      <c r="X58" s="4" t="e">
        <f>W58*(1+'Rhaniad y Ddeiliadaeth (Cymru)'!E$109)+(W$44*(-(50-$T58)*('Rhaniad y Ddeiliadaeth (Cymru)'!E$110/40)))</f>
        <v>#VALUE!</v>
      </c>
      <c r="Y58" s="4" t="e">
        <f>X58*(1+'Rhaniad y Ddeiliadaeth (Cymru)'!F$109)+(X$44*(-(50-$T58)*('Rhaniad y Ddeiliadaeth (Cymru)'!F$110/40)))</f>
        <v>#VALUE!</v>
      </c>
      <c r="Z58" s="4" t="e">
        <f>Y58*(1+'Rhaniad y Ddeiliadaeth (Cymru)'!G$109)+(Y$44*(-(50-$T58)*('Rhaniad y Ddeiliadaeth (Cymru)'!G$110/40)))</f>
        <v>#VALUE!</v>
      </c>
      <c r="AB58">
        <v>64</v>
      </c>
      <c r="AC58" s="4">
        <f>IF('Rhaniad y Ddeiliadaeth (Cymru)'!$D$8="Amcangyfrifon LlC",'Incwm (Cymru)'!D58,'Incwm (Cymru)'!V58)</f>
        <v>35715.420767170879</v>
      </c>
      <c r="AD58" s="4">
        <f>IF('Rhaniad y Ddeiliadaeth (Cymru)'!$D$8="Amcangyfrifon LlC",'Incwm (Cymru)'!E58,'Incwm (Cymru)'!W58)</f>
        <v>36727.307469130974</v>
      </c>
      <c r="AE58" s="4">
        <f>IF('Rhaniad y Ddeiliadaeth (Cymru)'!$D$8="Amcangyfrifon LlC",'Incwm (Cymru)'!F58,'Incwm (Cymru)'!X58)</f>
        <v>38028.080915391045</v>
      </c>
      <c r="AF58" s="4">
        <f>IF('Rhaniad y Ddeiliadaeth (Cymru)'!$D$8="Amcangyfrifon LlC",'Incwm (Cymru)'!G58,'Incwm (Cymru)'!Y58)</f>
        <v>39537.541196356993</v>
      </c>
      <c r="AG58" s="4">
        <f>IF('Rhaniad y Ddeiliadaeth (Cymru)'!$D$8="Amcangyfrifon LlC",'Incwm (Cymru)'!H58,'Incwm (Cymru)'!Z58)</f>
        <v>41145.261690341365</v>
      </c>
    </row>
    <row r="59" spans="2:33" x14ac:dyDescent="0.25">
      <c r="B59" s="20">
        <v>65</v>
      </c>
      <c r="C59" s="56">
        <v>35259.4</v>
      </c>
      <c r="D59" s="57">
        <f>C59*(1+'Rhaniad y Ddeiliadaeth (Cymru)'!C$109)+(C$44*(-(50-$B59)*('Rhaniad y Ddeiliadaeth (Cymru)'!C$110/40)))</f>
        <v>36603.644268360498</v>
      </c>
      <c r="E59" s="57">
        <f>D59*(1+'Rhaniad y Ddeiliadaeth (Cymru)'!D$109)+(D$44*(-(50-$B59)*('Rhaniad y Ddeiliadaeth (Cymru)'!D$110/40)))</f>
        <v>37645.054012689347</v>
      </c>
      <c r="F59" s="57">
        <f>E59*(1+'Rhaniad y Ddeiliadaeth (Cymru)'!E$109)+(E$44*(-(50-$B59)*('Rhaniad y Ddeiliadaeth (Cymru)'!E$110/40)))</f>
        <v>38982.789963356146</v>
      </c>
      <c r="G59" s="57">
        <f>F59*(1+'Rhaniad y Ddeiliadaeth (Cymru)'!F$109)+(F$44*(-(50-$B59)*('Rhaniad y Ddeiliadaeth (Cymru)'!F$110/40)))</f>
        <v>40534.739048953124</v>
      </c>
      <c r="H59" s="58">
        <f>G59*(1+'Rhaniad y Ddeiliadaeth (Cymru)'!G$109)+(G$44*(-(50-$B59)*('Rhaniad y Ddeiliadaeth (Cymru)'!G$110/40)))</f>
        <v>42187.760380151187</v>
      </c>
      <c r="L59" s="62" t="str">
        <f t="shared" si="4"/>
        <v/>
      </c>
      <c r="M59" s="227"/>
      <c r="N59" s="14">
        <f t="shared" si="3"/>
        <v>1</v>
      </c>
      <c r="T59" s="1">
        <f t="shared" si="5"/>
        <v>65</v>
      </c>
      <c r="U59" s="4" t="str">
        <f t="shared" si="6"/>
        <v/>
      </c>
      <c r="V59" s="4" t="e">
        <f>IF($V$3=$M$3,M59,U59*(1+'Rhaniad y Ddeiliadaeth (Cymru)'!C$109)+(U$44*(-(50-$T59)*('Rhaniad y Ddeiliadaeth (Cymru)'!C$110/40))))</f>
        <v>#VALUE!</v>
      </c>
      <c r="W59" s="4" t="e">
        <f>V59*(1+'Rhaniad y Ddeiliadaeth (Cymru)'!D$109)+(V$44*(-(50-$T59)*('Rhaniad y Ddeiliadaeth (Cymru)'!D$110/40)))</f>
        <v>#VALUE!</v>
      </c>
      <c r="X59" s="4" t="e">
        <f>W59*(1+'Rhaniad y Ddeiliadaeth (Cymru)'!E$109)+(W$44*(-(50-$T59)*('Rhaniad y Ddeiliadaeth (Cymru)'!E$110/40)))</f>
        <v>#VALUE!</v>
      </c>
      <c r="Y59" s="4" t="e">
        <f>X59*(1+'Rhaniad y Ddeiliadaeth (Cymru)'!F$109)+(X$44*(-(50-$T59)*('Rhaniad y Ddeiliadaeth (Cymru)'!F$110/40)))</f>
        <v>#VALUE!</v>
      </c>
      <c r="Z59" s="4" t="e">
        <f>Y59*(1+'Rhaniad y Ddeiliadaeth (Cymru)'!G$109)+(Y$44*(-(50-$T59)*('Rhaniad y Ddeiliadaeth (Cymru)'!G$110/40)))</f>
        <v>#VALUE!</v>
      </c>
      <c r="AB59">
        <v>65</v>
      </c>
      <c r="AC59" s="4">
        <f>IF('Rhaniad y Ddeiliadaeth (Cymru)'!$D$8="Amcangyfrifon LlC",'Incwm (Cymru)'!D59,'Incwm (Cymru)'!V59)</f>
        <v>36603.644268360498</v>
      </c>
      <c r="AD59" s="4">
        <f>IF('Rhaniad y Ddeiliadaeth (Cymru)'!$D$8="Amcangyfrifon LlC",'Incwm (Cymru)'!E59,'Incwm (Cymru)'!W59)</f>
        <v>37645.054012689347</v>
      </c>
      <c r="AE59" s="4">
        <f>IF('Rhaniad y Ddeiliadaeth (Cymru)'!$D$8="Amcangyfrifon LlC",'Incwm (Cymru)'!F59,'Incwm (Cymru)'!X59)</f>
        <v>38982.789963356146</v>
      </c>
      <c r="AF59" s="4">
        <f>IF('Rhaniad y Ddeiliadaeth (Cymru)'!$D$8="Amcangyfrifon LlC",'Incwm (Cymru)'!G59,'Incwm (Cymru)'!Y59)</f>
        <v>40534.739048953124</v>
      </c>
      <c r="AG59" s="4">
        <f>IF('Rhaniad y Ddeiliadaeth (Cymru)'!$D$8="Amcangyfrifon LlC",'Incwm (Cymru)'!H59,'Incwm (Cymru)'!Z59)</f>
        <v>42187.760380151187</v>
      </c>
    </row>
    <row r="60" spans="2:33" x14ac:dyDescent="0.25">
      <c r="B60" s="20">
        <v>66</v>
      </c>
      <c r="C60" s="56">
        <v>35961</v>
      </c>
      <c r="D60" s="57">
        <f>C60*(1+'Rhaniad y Ddeiliadaeth (Cymru)'!C$109)+(C$44*(-(50-$B60)*('Rhaniad y Ddeiliadaeth (Cymru)'!C$110/40)))</f>
        <v>37336.522338500501</v>
      </c>
      <c r="E60" s="57">
        <f>D60*(1+'Rhaniad y Ddeiliadaeth (Cymru)'!D$109)+(D$44*(-(50-$B60)*('Rhaniad y Ddeiliadaeth (Cymru)'!D$110/40)))</f>
        <v>38403.461008608487</v>
      </c>
      <c r="F60" s="57">
        <f>E60*(1+'Rhaniad y Ddeiliadaeth (Cymru)'!E$109)+(E$44*(-(50-$B60)*('Rhaniad y Ddeiliadaeth (Cymru)'!E$110/40)))</f>
        <v>39772.932646660352</v>
      </c>
      <c r="G60" s="57">
        <f>F60*(1+'Rhaniad y Ddeiliadaeth (Cymru)'!F$109)+(F$44*(-(50-$B60)*('Rhaniad y Ddeiliadaeth (Cymru)'!F$110/40)))</f>
        <v>41361.267452951994</v>
      </c>
      <c r="H60" s="58">
        <f>G60*(1+'Rhaniad y Ddeiliadaeth (Cymru)'!G$109)+(G$44*(-(50-$B60)*('Rhaniad y Ddeiliadaeth (Cymru)'!G$110/40)))</f>
        <v>43053.093562740774</v>
      </c>
      <c r="L60" s="62" t="str">
        <f t="shared" si="4"/>
        <v/>
      </c>
      <c r="M60" s="227"/>
      <c r="N60" s="14">
        <f t="shared" si="3"/>
        <v>1</v>
      </c>
      <c r="T60" s="1">
        <f t="shared" si="5"/>
        <v>66</v>
      </c>
      <c r="U60" s="4" t="str">
        <f t="shared" si="6"/>
        <v/>
      </c>
      <c r="V60" s="4" t="e">
        <f>IF($V$3=$M$3,M60,U60*(1+'Rhaniad y Ddeiliadaeth (Cymru)'!C$109)+(U$44*(-(50-$T60)*('Rhaniad y Ddeiliadaeth (Cymru)'!C$110/40))))</f>
        <v>#VALUE!</v>
      </c>
      <c r="W60" s="4" t="e">
        <f>V60*(1+'Rhaniad y Ddeiliadaeth (Cymru)'!D$109)+(V$44*(-(50-$T60)*('Rhaniad y Ddeiliadaeth (Cymru)'!D$110/40)))</f>
        <v>#VALUE!</v>
      </c>
      <c r="X60" s="4" t="e">
        <f>W60*(1+'Rhaniad y Ddeiliadaeth (Cymru)'!E$109)+(W$44*(-(50-$T60)*('Rhaniad y Ddeiliadaeth (Cymru)'!E$110/40)))</f>
        <v>#VALUE!</v>
      </c>
      <c r="Y60" s="4" t="e">
        <f>X60*(1+'Rhaniad y Ddeiliadaeth (Cymru)'!F$109)+(X$44*(-(50-$T60)*('Rhaniad y Ddeiliadaeth (Cymru)'!F$110/40)))</f>
        <v>#VALUE!</v>
      </c>
      <c r="Z60" s="4" t="e">
        <f>Y60*(1+'Rhaniad y Ddeiliadaeth (Cymru)'!G$109)+(Y$44*(-(50-$T60)*('Rhaniad y Ddeiliadaeth (Cymru)'!G$110/40)))</f>
        <v>#VALUE!</v>
      </c>
      <c r="AB60">
        <v>66</v>
      </c>
      <c r="AC60" s="4">
        <f>IF('Rhaniad y Ddeiliadaeth (Cymru)'!$D$8="Amcangyfrifon LlC",'Incwm (Cymru)'!D60,'Incwm (Cymru)'!V60)</f>
        <v>37336.522338500501</v>
      </c>
      <c r="AD60" s="4">
        <f>IF('Rhaniad y Ddeiliadaeth (Cymru)'!$D$8="Amcangyfrifon LlC",'Incwm (Cymru)'!E60,'Incwm (Cymru)'!W60)</f>
        <v>38403.461008608487</v>
      </c>
      <c r="AE60" s="4">
        <f>IF('Rhaniad y Ddeiliadaeth (Cymru)'!$D$8="Amcangyfrifon LlC",'Incwm (Cymru)'!F60,'Incwm (Cymru)'!X60)</f>
        <v>39772.932646660352</v>
      </c>
      <c r="AF60" s="4">
        <f>IF('Rhaniad y Ddeiliadaeth (Cymru)'!$D$8="Amcangyfrifon LlC",'Incwm (Cymru)'!G60,'Incwm (Cymru)'!Y60)</f>
        <v>41361.267452951994</v>
      </c>
      <c r="AG60" s="4">
        <f>IF('Rhaniad y Ddeiliadaeth (Cymru)'!$D$8="Amcangyfrifon LlC",'Incwm (Cymru)'!H60,'Incwm (Cymru)'!Z60)</f>
        <v>43053.093562740774</v>
      </c>
    </row>
    <row r="61" spans="2:33" x14ac:dyDescent="0.25">
      <c r="B61" s="20">
        <v>67</v>
      </c>
      <c r="C61" s="56">
        <v>36697</v>
      </c>
      <c r="D61" s="57">
        <f>C61*(1+'Rhaniad y Ddeiliadaeth (Cymru)'!C$109)+(C$44*(-(50-$B61)*('Rhaniad y Ddeiliadaeth (Cymru)'!C$110/40)))</f>
        <v>38105.017389915884</v>
      </c>
      <c r="E61" s="57">
        <f>D61*(1+'Rhaniad y Ddeiliadaeth (Cymru)'!D$109)+(D$44*(-(50-$B61)*('Rhaniad y Ddeiliadaeth (Cymru)'!D$110/40)))</f>
        <v>39198.400740935438</v>
      </c>
      <c r="F61" s="57">
        <f>E61*(1+'Rhaniad y Ddeiliadaeth (Cymru)'!E$109)+(E$44*(-(50-$B61)*('Rhaniad y Ddeiliadaeth (Cymru)'!E$110/40)))</f>
        <v>40600.806450146731</v>
      </c>
      <c r="G61" s="57">
        <f>F61*(1+'Rhaniad y Ddeiliadaeth (Cymru)'!F$109)+(F$44*(-(50-$B61)*('Rhaniad y Ddeiliadaeth (Cymru)'!F$110/40)))</f>
        <v>42226.926267893083</v>
      </c>
      <c r="H61" s="58">
        <f>G61*(1+'Rhaniad y Ddeiliadaeth (Cymru)'!G$109)+(G$44*(-(50-$B61)*('Rhaniad y Ddeiliadaeth (Cymru)'!G$110/40)))</f>
        <v>43959.046546702499</v>
      </c>
      <c r="L61" s="62" t="str">
        <f t="shared" si="4"/>
        <v/>
      </c>
      <c r="M61" s="227"/>
      <c r="N61" s="14">
        <f t="shared" si="3"/>
        <v>1</v>
      </c>
      <c r="T61" s="1">
        <f t="shared" si="5"/>
        <v>67</v>
      </c>
      <c r="U61" s="4" t="str">
        <f t="shared" si="6"/>
        <v/>
      </c>
      <c r="V61" s="4" t="e">
        <f>IF($V$3=$M$3,M61,U61*(1+'Rhaniad y Ddeiliadaeth (Cymru)'!C$109)+(U$44*(-(50-$T61)*('Rhaniad y Ddeiliadaeth (Cymru)'!C$110/40))))</f>
        <v>#VALUE!</v>
      </c>
      <c r="W61" s="4" t="e">
        <f>V61*(1+'Rhaniad y Ddeiliadaeth (Cymru)'!D$109)+(V$44*(-(50-$T61)*('Rhaniad y Ddeiliadaeth (Cymru)'!D$110/40)))</f>
        <v>#VALUE!</v>
      </c>
      <c r="X61" s="4" t="e">
        <f>W61*(1+'Rhaniad y Ddeiliadaeth (Cymru)'!E$109)+(W$44*(-(50-$T61)*('Rhaniad y Ddeiliadaeth (Cymru)'!E$110/40)))</f>
        <v>#VALUE!</v>
      </c>
      <c r="Y61" s="4" t="e">
        <f>X61*(1+'Rhaniad y Ddeiliadaeth (Cymru)'!F$109)+(X$44*(-(50-$T61)*('Rhaniad y Ddeiliadaeth (Cymru)'!F$110/40)))</f>
        <v>#VALUE!</v>
      </c>
      <c r="Z61" s="4" t="e">
        <f>Y61*(1+'Rhaniad y Ddeiliadaeth (Cymru)'!G$109)+(Y$44*(-(50-$T61)*('Rhaniad y Ddeiliadaeth (Cymru)'!G$110/40)))</f>
        <v>#VALUE!</v>
      </c>
      <c r="AB61">
        <v>67</v>
      </c>
      <c r="AC61" s="4">
        <f>IF('Rhaniad y Ddeiliadaeth (Cymru)'!$D$8="Amcangyfrifon LlC",'Incwm (Cymru)'!D61,'Incwm (Cymru)'!V61)</f>
        <v>38105.017389915884</v>
      </c>
      <c r="AD61" s="4">
        <f>IF('Rhaniad y Ddeiliadaeth (Cymru)'!$D$8="Amcangyfrifon LlC",'Incwm (Cymru)'!E61,'Incwm (Cymru)'!W61)</f>
        <v>39198.400740935438</v>
      </c>
      <c r="AE61" s="4">
        <f>IF('Rhaniad y Ddeiliadaeth (Cymru)'!$D$8="Amcangyfrifon LlC",'Incwm (Cymru)'!F61,'Incwm (Cymru)'!X61)</f>
        <v>40600.806450146731</v>
      </c>
      <c r="AF61" s="4">
        <f>IF('Rhaniad y Ddeiliadaeth (Cymru)'!$D$8="Amcangyfrifon LlC",'Incwm (Cymru)'!G61,'Incwm (Cymru)'!Y61)</f>
        <v>42226.926267893083</v>
      </c>
      <c r="AG61" s="4">
        <f>IF('Rhaniad y Ddeiliadaeth (Cymru)'!$D$8="Amcangyfrifon LlC",'Incwm (Cymru)'!H61,'Incwm (Cymru)'!Z61)</f>
        <v>43959.046546702499</v>
      </c>
    </row>
    <row r="62" spans="2:33" x14ac:dyDescent="0.25">
      <c r="B62" s="20">
        <v>68</v>
      </c>
      <c r="C62" s="56">
        <v>37290.5</v>
      </c>
      <c r="D62" s="57">
        <f>C62*(1+'Rhaniad y Ddeiliadaeth (Cymru)'!C$109)+(C$44*(-(50-$B62)*('Rhaniad y Ddeiliadaeth (Cymru)'!C$110/40)))</f>
        <v>38725.971167152682</v>
      </c>
      <c r="E62" s="57">
        <f>D62*(1+'Rhaniad y Ddeiliadaeth (Cymru)'!D$109)+(D$44*(-(50-$B62)*('Rhaniad y Ddeiliadaeth (Cymru)'!D$110/40)))</f>
        <v>39842.005736689265</v>
      </c>
      <c r="F62" s="57">
        <f>E62*(1+'Rhaniad y Ddeiliadaeth (Cymru)'!E$109)+(E$44*(-(50-$B62)*('Rhaniad y Ddeiliadaeth (Cymru)'!E$110/40)))</f>
        <v>41272.381281948183</v>
      </c>
      <c r="G62" s="57">
        <f>F62*(1+'Rhaniad y Ddeiliadaeth (Cymru)'!F$109)+(F$44*(-(50-$B62)*('Rhaniad y Ddeiliadaeth (Cymru)'!F$110/40)))</f>
        <v>42930.489630529868</v>
      </c>
      <c r="H62" s="58">
        <f>G62*(1+'Rhaniad y Ddeiliadaeth (Cymru)'!G$109)+(G$44*(-(50-$B62)*('Rhaniad y Ddeiliadaeth (Cymru)'!G$110/40)))</f>
        <v>44696.734365096432</v>
      </c>
      <c r="L62" s="62" t="str">
        <f t="shared" si="4"/>
        <v/>
      </c>
      <c r="M62" s="227"/>
      <c r="N62" s="14">
        <f t="shared" si="3"/>
        <v>1</v>
      </c>
      <c r="T62" s="1">
        <f t="shared" si="5"/>
        <v>68</v>
      </c>
      <c r="U62" s="4" t="str">
        <f t="shared" si="6"/>
        <v/>
      </c>
      <c r="V62" s="4" t="e">
        <f>IF($V$3=$M$3,M62,U62*(1+'Rhaniad y Ddeiliadaeth (Cymru)'!C$109)+(U$44*(-(50-$T62)*('Rhaniad y Ddeiliadaeth (Cymru)'!C$110/40))))</f>
        <v>#VALUE!</v>
      </c>
      <c r="W62" s="4" t="e">
        <f>V62*(1+'Rhaniad y Ddeiliadaeth (Cymru)'!D$109)+(V$44*(-(50-$T62)*('Rhaniad y Ddeiliadaeth (Cymru)'!D$110/40)))</f>
        <v>#VALUE!</v>
      </c>
      <c r="X62" s="4" t="e">
        <f>W62*(1+'Rhaniad y Ddeiliadaeth (Cymru)'!E$109)+(W$44*(-(50-$T62)*('Rhaniad y Ddeiliadaeth (Cymru)'!E$110/40)))</f>
        <v>#VALUE!</v>
      </c>
      <c r="Y62" s="4" t="e">
        <f>X62*(1+'Rhaniad y Ddeiliadaeth (Cymru)'!F$109)+(X$44*(-(50-$T62)*('Rhaniad y Ddeiliadaeth (Cymru)'!F$110/40)))</f>
        <v>#VALUE!</v>
      </c>
      <c r="Z62" s="4" t="e">
        <f>Y62*(1+'Rhaniad y Ddeiliadaeth (Cymru)'!G$109)+(Y$44*(-(50-$T62)*('Rhaniad y Ddeiliadaeth (Cymru)'!G$110/40)))</f>
        <v>#VALUE!</v>
      </c>
      <c r="AB62">
        <v>68</v>
      </c>
      <c r="AC62" s="4">
        <f>IF('Rhaniad y Ddeiliadaeth (Cymru)'!$D$8="Amcangyfrifon LlC",'Incwm (Cymru)'!D62,'Incwm (Cymru)'!V62)</f>
        <v>38725.971167152682</v>
      </c>
      <c r="AD62" s="4">
        <f>IF('Rhaniad y Ddeiliadaeth (Cymru)'!$D$8="Amcangyfrifon LlC",'Incwm (Cymru)'!E62,'Incwm (Cymru)'!W62)</f>
        <v>39842.005736689265</v>
      </c>
      <c r="AE62" s="4">
        <f>IF('Rhaniad y Ddeiliadaeth (Cymru)'!$D$8="Amcangyfrifon LlC",'Incwm (Cymru)'!F62,'Incwm (Cymru)'!X62)</f>
        <v>41272.381281948183</v>
      </c>
      <c r="AF62" s="4">
        <f>IF('Rhaniad y Ddeiliadaeth (Cymru)'!$D$8="Amcangyfrifon LlC",'Incwm (Cymru)'!G62,'Incwm (Cymru)'!Y62)</f>
        <v>42930.489630529868</v>
      </c>
      <c r="AG62" s="4">
        <f>IF('Rhaniad y Ddeiliadaeth (Cymru)'!$D$8="Amcangyfrifon LlC",'Incwm (Cymru)'!H62,'Incwm (Cymru)'!Z62)</f>
        <v>44696.734365096432</v>
      </c>
    </row>
    <row r="63" spans="2:33" x14ac:dyDescent="0.25">
      <c r="B63" s="20">
        <v>69</v>
      </c>
      <c r="C63" s="56">
        <v>38123.5</v>
      </c>
      <c r="D63" s="57">
        <f>C63*(1+'Rhaniad y Ddeiliadaeth (Cymru)'!C$109)+(C$44*(-(50-$B63)*('Rhaniad y Ddeiliadaeth (Cymru)'!C$110/40)))</f>
        <v>39594.897822745785</v>
      </c>
      <c r="E63" s="57">
        <f>D63*(1+'Rhaniad y Ddeiliadaeth (Cymru)'!D$109)+(D$44*(-(50-$B63)*('Rhaniad y Ddeiliadaeth (Cymru)'!D$110/40)))</f>
        <v>40739.95928970111</v>
      </c>
      <c r="F63" s="57">
        <f>E63*(1+'Rhaniad y Ddeiliadaeth (Cymru)'!E$109)+(E$44*(-(50-$B63)*('Rhaniad y Ddeiliadaeth (Cymru)'!E$110/40)))</f>
        <v>42206.648069669238</v>
      </c>
      <c r="G63" s="57">
        <f>F63*(1+'Rhaniad y Ddeiliadaeth (Cymru)'!F$109)+(F$44*(-(50-$B63)*('Rhaniad y Ddeiliadaeth (Cymru)'!F$110/40)))</f>
        <v>43906.48710423251</v>
      </c>
      <c r="H63" s="58">
        <f>G63*(1+'Rhaniad y Ddeiliadaeth (Cymru)'!G$109)+(G$44*(-(50-$B63)*('Rhaniad y Ddeiliadaeth (Cymru)'!G$110/40)))</f>
        <v>45717.225742462237</v>
      </c>
      <c r="L63" s="62" t="str">
        <f t="shared" si="4"/>
        <v/>
      </c>
      <c r="M63" s="227"/>
      <c r="N63" s="14">
        <f t="shared" si="3"/>
        <v>1</v>
      </c>
      <c r="T63" s="1">
        <f t="shared" si="5"/>
        <v>69</v>
      </c>
      <c r="U63" s="4" t="str">
        <f t="shared" si="6"/>
        <v/>
      </c>
      <c r="V63" s="4" t="e">
        <f>IF($V$3=$M$3,M63,U63*(1+'Rhaniad y Ddeiliadaeth (Cymru)'!C$109)+(U$44*(-(50-$T63)*('Rhaniad y Ddeiliadaeth (Cymru)'!C$110/40))))</f>
        <v>#VALUE!</v>
      </c>
      <c r="W63" s="4" t="e">
        <f>V63*(1+'Rhaniad y Ddeiliadaeth (Cymru)'!D$109)+(V$44*(-(50-$T63)*('Rhaniad y Ddeiliadaeth (Cymru)'!D$110/40)))</f>
        <v>#VALUE!</v>
      </c>
      <c r="X63" s="4" t="e">
        <f>W63*(1+'Rhaniad y Ddeiliadaeth (Cymru)'!E$109)+(W$44*(-(50-$T63)*('Rhaniad y Ddeiliadaeth (Cymru)'!E$110/40)))</f>
        <v>#VALUE!</v>
      </c>
      <c r="Y63" s="4" t="e">
        <f>X63*(1+'Rhaniad y Ddeiliadaeth (Cymru)'!F$109)+(X$44*(-(50-$T63)*('Rhaniad y Ddeiliadaeth (Cymru)'!F$110/40)))</f>
        <v>#VALUE!</v>
      </c>
      <c r="Z63" s="4" t="e">
        <f>Y63*(1+'Rhaniad y Ddeiliadaeth (Cymru)'!G$109)+(Y$44*(-(50-$T63)*('Rhaniad y Ddeiliadaeth (Cymru)'!G$110/40)))</f>
        <v>#VALUE!</v>
      </c>
      <c r="AB63">
        <v>69</v>
      </c>
      <c r="AC63" s="4">
        <f>IF('Rhaniad y Ddeiliadaeth (Cymru)'!$D$8="Amcangyfrifon LlC",'Incwm (Cymru)'!D63,'Incwm (Cymru)'!V63)</f>
        <v>39594.897822745785</v>
      </c>
      <c r="AD63" s="4">
        <f>IF('Rhaniad y Ddeiliadaeth (Cymru)'!$D$8="Amcangyfrifon LlC",'Incwm (Cymru)'!E63,'Incwm (Cymru)'!W63)</f>
        <v>40739.95928970111</v>
      </c>
      <c r="AE63" s="4">
        <f>IF('Rhaniad y Ddeiliadaeth (Cymru)'!$D$8="Amcangyfrifon LlC",'Incwm (Cymru)'!F63,'Incwm (Cymru)'!X63)</f>
        <v>42206.648069669238</v>
      </c>
      <c r="AF63" s="4">
        <f>IF('Rhaniad y Ddeiliadaeth (Cymru)'!$D$8="Amcangyfrifon LlC",'Incwm (Cymru)'!G63,'Incwm (Cymru)'!Y63)</f>
        <v>43906.48710423251</v>
      </c>
      <c r="AG63" s="4">
        <f>IF('Rhaniad y Ddeiliadaeth (Cymru)'!$D$8="Amcangyfrifon LlC",'Incwm (Cymru)'!H63,'Incwm (Cymru)'!Z63)</f>
        <v>45717.225742462237</v>
      </c>
    </row>
    <row r="64" spans="2:33" x14ac:dyDescent="0.25">
      <c r="B64" s="20">
        <v>70</v>
      </c>
      <c r="C64" s="56">
        <v>38942</v>
      </c>
      <c r="D64" s="57">
        <f>C64*(1+'Rhaniad y Ddeiliadaeth (Cymru)'!C$109)+(C$44*(-(50-$B64)*('Rhaniad y Ddeiliadaeth (Cymru)'!C$110/40)))</f>
        <v>40448.811506580358</v>
      </c>
      <c r="E64" s="57">
        <f>D64*(1+'Rhaniad y Ddeiliadaeth (Cymru)'!D$109)+(D$44*(-(50-$B64)*('Rhaniad y Ddeiliadaeth (Cymru)'!D$110/40)))</f>
        <v>41622.513869517774</v>
      </c>
      <c r="F64" s="57">
        <f>E64*(1+'Rhaniad y Ddeiliadaeth (Cymru)'!E$109)+(E$44*(-(50-$B64)*('Rhaniad y Ddeiliadaeth (Cymru)'!E$110/40)))</f>
        <v>43125.010751499525</v>
      </c>
      <c r="G64" s="57">
        <f>F64*(1+'Rhaniad y Ddeiliadaeth (Cymru)'!F$109)+(F$44*(-(50-$B64)*('Rhaniad y Ddeiliadaeth (Cymru)'!F$110/40)))</f>
        <v>44865.990654718204</v>
      </c>
      <c r="H64" s="58">
        <f>G64*(1+'Rhaniad y Ddeiliadaeth (Cymru)'!G$109)+(G$44*(-(50-$B64)*('Rhaniad y Ddeiliadaeth (Cymru)'!G$110/40)))</f>
        <v>46720.59540122639</v>
      </c>
      <c r="L64" s="62" t="str">
        <f t="shared" si="4"/>
        <v/>
      </c>
      <c r="M64" s="227"/>
      <c r="N64" s="14">
        <f t="shared" si="3"/>
        <v>1</v>
      </c>
      <c r="T64" s="1">
        <f t="shared" si="5"/>
        <v>70</v>
      </c>
      <c r="U64" s="4" t="str">
        <f t="shared" si="6"/>
        <v/>
      </c>
      <c r="V64" s="4" t="e">
        <f>IF($V$3=$M$3,M64,U64*(1+'Rhaniad y Ddeiliadaeth (Cymru)'!C$109)+(U$44*(-(50-$T64)*('Rhaniad y Ddeiliadaeth (Cymru)'!C$110/40))))</f>
        <v>#VALUE!</v>
      </c>
      <c r="W64" s="4" t="e">
        <f>V64*(1+'Rhaniad y Ddeiliadaeth (Cymru)'!D$109)+(V$44*(-(50-$T64)*('Rhaniad y Ddeiliadaeth (Cymru)'!D$110/40)))</f>
        <v>#VALUE!</v>
      </c>
      <c r="X64" s="4" t="e">
        <f>W64*(1+'Rhaniad y Ddeiliadaeth (Cymru)'!E$109)+(W$44*(-(50-$T64)*('Rhaniad y Ddeiliadaeth (Cymru)'!E$110/40)))</f>
        <v>#VALUE!</v>
      </c>
      <c r="Y64" s="4" t="e">
        <f>X64*(1+'Rhaniad y Ddeiliadaeth (Cymru)'!F$109)+(X$44*(-(50-$T64)*('Rhaniad y Ddeiliadaeth (Cymru)'!F$110/40)))</f>
        <v>#VALUE!</v>
      </c>
      <c r="Z64" s="4" t="e">
        <f>Y64*(1+'Rhaniad y Ddeiliadaeth (Cymru)'!G$109)+(Y$44*(-(50-$T64)*('Rhaniad y Ddeiliadaeth (Cymru)'!G$110/40)))</f>
        <v>#VALUE!</v>
      </c>
      <c r="AB64">
        <v>70</v>
      </c>
      <c r="AC64" s="4">
        <f>IF('Rhaniad y Ddeiliadaeth (Cymru)'!$D$8="Amcangyfrifon LlC",'Incwm (Cymru)'!D64,'Incwm (Cymru)'!V64)</f>
        <v>40448.811506580358</v>
      </c>
      <c r="AD64" s="4">
        <f>IF('Rhaniad y Ddeiliadaeth (Cymru)'!$D$8="Amcangyfrifon LlC",'Incwm (Cymru)'!E64,'Incwm (Cymru)'!W64)</f>
        <v>41622.513869517774</v>
      </c>
      <c r="AE64" s="4">
        <f>IF('Rhaniad y Ddeiliadaeth (Cymru)'!$D$8="Amcangyfrifon LlC",'Incwm (Cymru)'!F64,'Incwm (Cymru)'!X64)</f>
        <v>43125.010751499525</v>
      </c>
      <c r="AF64" s="4">
        <f>IF('Rhaniad y Ddeiliadaeth (Cymru)'!$D$8="Amcangyfrifon LlC",'Incwm (Cymru)'!G64,'Incwm (Cymru)'!Y64)</f>
        <v>44865.990654718204</v>
      </c>
      <c r="AG64" s="4">
        <f>IF('Rhaniad y Ddeiliadaeth (Cymru)'!$D$8="Amcangyfrifon LlC",'Incwm (Cymru)'!H64,'Incwm (Cymru)'!Z64)</f>
        <v>46720.59540122639</v>
      </c>
    </row>
    <row r="65" spans="2:33" x14ac:dyDescent="0.25">
      <c r="B65" s="20">
        <v>71</v>
      </c>
      <c r="C65" s="56">
        <v>39814.080000000002</v>
      </c>
      <c r="D65" s="57">
        <f>C65*(1+'Rhaniad y Ddeiliadaeth (Cymru)'!C$109)+(C$44*(-(50-$B65)*('Rhaniad y Ddeiliadaeth (Cymru)'!C$110/40)))</f>
        <v>41358.200709506084</v>
      </c>
      <c r="E65" s="57">
        <f>D65*(1+'Rhaniad y Ddeiliadaeth (Cymru)'!D$109)+(D$44*(-(50-$B65)*('Rhaniad y Ddeiliadaeth (Cymru)'!D$110/40)))</f>
        <v>42561.970310285942</v>
      </c>
      <c r="F65" s="57">
        <f>E65*(1+'Rhaniad y Ddeiliadaeth (Cymru)'!E$109)+(E$44*(-(50-$B65)*('Rhaniad y Ddeiliadaeth (Cymru)'!E$110/40)))</f>
        <v>44102.141846683357</v>
      </c>
      <c r="G65" s="57">
        <f>F65*(1+'Rhaniad y Ddeiliadaeth (Cymru)'!F$109)+(F$44*(-(50-$B65)*('Rhaniad y Ddeiliadaeth (Cymru)'!F$110/40)))</f>
        <v>45886.442095270344</v>
      </c>
      <c r="H65" s="58">
        <f>G65*(1+'Rhaniad y Ddeiliadaeth (Cymru)'!G$109)+(G$44*(-(50-$B65)*('Rhaniad y Ddeiliadaeth (Cymru)'!G$110/40)))</f>
        <v>47787.232762244072</v>
      </c>
      <c r="L65" s="62" t="str">
        <f t="shared" si="4"/>
        <v/>
      </c>
      <c r="M65" s="227"/>
      <c r="N65" s="14">
        <f t="shared" si="3"/>
        <v>1</v>
      </c>
      <c r="T65" s="1">
        <f t="shared" si="5"/>
        <v>71</v>
      </c>
      <c r="U65" s="4" t="str">
        <f t="shared" si="6"/>
        <v/>
      </c>
      <c r="V65" s="4" t="e">
        <f>IF($V$3=$M$3,M65,U65*(1+'Rhaniad y Ddeiliadaeth (Cymru)'!C$109)+(U$44*(-(50-$T65)*('Rhaniad y Ddeiliadaeth (Cymru)'!C$110/40))))</f>
        <v>#VALUE!</v>
      </c>
      <c r="W65" s="4" t="e">
        <f>V65*(1+'Rhaniad y Ddeiliadaeth (Cymru)'!D$109)+(V$44*(-(50-$T65)*('Rhaniad y Ddeiliadaeth (Cymru)'!D$110/40)))</f>
        <v>#VALUE!</v>
      </c>
      <c r="X65" s="4" t="e">
        <f>W65*(1+'Rhaniad y Ddeiliadaeth (Cymru)'!E$109)+(W$44*(-(50-$T65)*('Rhaniad y Ddeiliadaeth (Cymru)'!E$110/40)))</f>
        <v>#VALUE!</v>
      </c>
      <c r="Y65" s="4" t="e">
        <f>X65*(1+'Rhaniad y Ddeiliadaeth (Cymru)'!F$109)+(X$44*(-(50-$T65)*('Rhaniad y Ddeiliadaeth (Cymru)'!F$110/40)))</f>
        <v>#VALUE!</v>
      </c>
      <c r="Z65" s="4" t="e">
        <f>Y65*(1+'Rhaniad y Ddeiliadaeth (Cymru)'!G$109)+(Y$44*(-(50-$T65)*('Rhaniad y Ddeiliadaeth (Cymru)'!G$110/40)))</f>
        <v>#VALUE!</v>
      </c>
      <c r="AB65">
        <v>71</v>
      </c>
      <c r="AC65" s="4">
        <f>IF('Rhaniad y Ddeiliadaeth (Cymru)'!$D$8="Amcangyfrifon LlC",'Incwm (Cymru)'!D65,'Incwm (Cymru)'!V65)</f>
        <v>41358.200709506084</v>
      </c>
      <c r="AD65" s="4">
        <f>IF('Rhaniad y Ddeiliadaeth (Cymru)'!$D$8="Amcangyfrifon LlC",'Incwm (Cymru)'!E65,'Incwm (Cymru)'!W65)</f>
        <v>42561.970310285942</v>
      </c>
      <c r="AE65" s="4">
        <f>IF('Rhaniad y Ddeiliadaeth (Cymru)'!$D$8="Amcangyfrifon LlC",'Incwm (Cymru)'!F65,'Incwm (Cymru)'!X65)</f>
        <v>44102.141846683357</v>
      </c>
      <c r="AF65" s="4">
        <f>IF('Rhaniad y Ddeiliadaeth (Cymru)'!$D$8="Amcangyfrifon LlC",'Incwm (Cymru)'!G65,'Incwm (Cymru)'!Y65)</f>
        <v>45886.442095270344</v>
      </c>
      <c r="AG65" s="4">
        <f>IF('Rhaniad y Ddeiliadaeth (Cymru)'!$D$8="Amcangyfrifon LlC",'Incwm (Cymru)'!H65,'Incwm (Cymru)'!Z65)</f>
        <v>47787.232762244072</v>
      </c>
    </row>
    <row r="66" spans="2:33" x14ac:dyDescent="0.25">
      <c r="B66" s="20">
        <v>72</v>
      </c>
      <c r="C66" s="56">
        <v>40759.32</v>
      </c>
      <c r="D66" s="57">
        <f>C66*(1+'Rhaniad y Ddeiliadaeth (Cymru)'!C$109)+(C$44*(-(50-$B66)*('Rhaniad y Ddeiliadaeth (Cymru)'!C$110/40)))</f>
        <v>42343.338120283785</v>
      </c>
      <c r="E66" s="57">
        <f>D66*(1+'Rhaniad y Ddeiliadaeth (Cymru)'!D$109)+(D$44*(-(50-$B66)*('Rhaniad y Ddeiliadaeth (Cymru)'!D$110/40)))</f>
        <v>43579.122535809845</v>
      </c>
      <c r="F66" s="57">
        <f>E66*(1+'Rhaniad y Ddeiliadaeth (Cymru)'!E$109)+(E$44*(-(50-$B66)*('Rhaniad y Ddeiliadaeth (Cymru)'!E$110/40)))</f>
        <v>45159.517382347687</v>
      </c>
      <c r="G66" s="57">
        <f>F66*(1+'Rhaniad y Ddeiliadaeth (Cymru)'!F$109)+(F$44*(-(50-$B66)*('Rhaniad y Ddeiliadaeth (Cymru)'!F$110/40)))</f>
        <v>46990.113909791486</v>
      </c>
      <c r="H66" s="58">
        <f>G66*(1+'Rhaniad y Ddeiliadaeth (Cymru)'!G$109)+(G$44*(-(50-$B66)*('Rhaniad y Ddeiliadaeth (Cymru)'!G$110/40)))</f>
        <v>48940.258049668351</v>
      </c>
      <c r="L66" s="62" t="str">
        <f t="shared" si="4"/>
        <v/>
      </c>
      <c r="M66" s="227"/>
      <c r="N66" s="14">
        <f t="shared" si="3"/>
        <v>1</v>
      </c>
      <c r="T66" s="1">
        <f t="shared" si="5"/>
        <v>72</v>
      </c>
      <c r="U66" s="4" t="str">
        <f t="shared" si="6"/>
        <v/>
      </c>
      <c r="V66" s="4" t="e">
        <f>IF($V$3=$M$3,M66,U66*(1+'Rhaniad y Ddeiliadaeth (Cymru)'!C$109)+(U$44*(-(50-$T66)*('Rhaniad y Ddeiliadaeth (Cymru)'!C$110/40))))</f>
        <v>#VALUE!</v>
      </c>
      <c r="W66" s="4" t="e">
        <f>V66*(1+'Rhaniad y Ddeiliadaeth (Cymru)'!D$109)+(V$44*(-(50-$T66)*('Rhaniad y Ddeiliadaeth (Cymru)'!D$110/40)))</f>
        <v>#VALUE!</v>
      </c>
      <c r="X66" s="4" t="e">
        <f>W66*(1+'Rhaniad y Ddeiliadaeth (Cymru)'!E$109)+(W$44*(-(50-$T66)*('Rhaniad y Ddeiliadaeth (Cymru)'!E$110/40)))</f>
        <v>#VALUE!</v>
      </c>
      <c r="Y66" s="4" t="e">
        <f>X66*(1+'Rhaniad y Ddeiliadaeth (Cymru)'!F$109)+(X$44*(-(50-$T66)*('Rhaniad y Ddeiliadaeth (Cymru)'!F$110/40)))</f>
        <v>#VALUE!</v>
      </c>
      <c r="Z66" s="4" t="e">
        <f>Y66*(1+'Rhaniad y Ddeiliadaeth (Cymru)'!G$109)+(Y$44*(-(50-$T66)*('Rhaniad y Ddeiliadaeth (Cymru)'!G$110/40)))</f>
        <v>#VALUE!</v>
      </c>
      <c r="AB66">
        <v>72</v>
      </c>
      <c r="AC66" s="4">
        <f>IF('Rhaniad y Ddeiliadaeth (Cymru)'!$D$8="Amcangyfrifon LlC",'Incwm (Cymru)'!D66,'Incwm (Cymru)'!V66)</f>
        <v>42343.338120283785</v>
      </c>
      <c r="AD66" s="4">
        <f>IF('Rhaniad y Ddeiliadaeth (Cymru)'!$D$8="Amcangyfrifon LlC",'Incwm (Cymru)'!E66,'Incwm (Cymru)'!W66)</f>
        <v>43579.122535809845</v>
      </c>
      <c r="AE66" s="4">
        <f>IF('Rhaniad y Ddeiliadaeth (Cymru)'!$D$8="Amcangyfrifon LlC",'Incwm (Cymru)'!F66,'Incwm (Cymru)'!X66)</f>
        <v>45159.517382347687</v>
      </c>
      <c r="AF66" s="4">
        <f>IF('Rhaniad y Ddeiliadaeth (Cymru)'!$D$8="Amcangyfrifon LlC",'Incwm (Cymru)'!G66,'Incwm (Cymru)'!Y66)</f>
        <v>46990.113909791486</v>
      </c>
      <c r="AG66" s="4">
        <f>IF('Rhaniad y Ddeiliadaeth (Cymru)'!$D$8="Amcangyfrifon LlC",'Incwm (Cymru)'!H66,'Incwm (Cymru)'!Z66)</f>
        <v>48940.258049668351</v>
      </c>
    </row>
    <row r="67" spans="2:33" x14ac:dyDescent="0.25">
      <c r="B67" s="20">
        <v>73</v>
      </c>
      <c r="C67" s="56">
        <v>41915.300000000003</v>
      </c>
      <c r="D67" s="57">
        <f>C67*(1+'Rhaniad y Ddeiliadaeth (Cymru)'!C$109)+(C$44*(-(50-$B67)*('Rhaniad y Ddeiliadaeth (Cymru)'!C$110/40)))</f>
        <v>43546.670956467766</v>
      </c>
      <c r="E67" s="57">
        <f>D67*(1+'Rhaniad y Ddeiliadaeth (Cymru)'!D$109)+(D$44*(-(50-$B67)*('Rhaniad y Ddeiliadaeth (Cymru)'!D$110/40)))</f>
        <v>44820.080251757739</v>
      </c>
      <c r="F67" s="57">
        <f>E67*(1+'Rhaniad y Ddeiliadaeth (Cymru)'!E$109)+(E$44*(-(50-$B67)*('Rhaniad y Ddeiliadaeth (Cymru)'!E$110/40)))</f>
        <v>46448.039902523458</v>
      </c>
      <c r="G67" s="57">
        <f>F67*(1+'Rhaniad y Ddeiliadaeth (Cymru)'!F$109)+(F$44*(-(50-$B67)*('Rhaniad y Ddeiliadaeth (Cymru)'!F$110/40)))</f>
        <v>48333.504991811657</v>
      </c>
      <c r="H67" s="58">
        <f>G67*(1+'Rhaniad y Ddeiliadaeth (Cymru)'!G$109)+(G$44*(-(50-$B67)*('Rhaniad y Ddeiliadaeth (Cymru)'!G$110/40)))</f>
        <v>50342.126852824294</v>
      </c>
      <c r="L67" s="62" t="str">
        <f t="shared" si="4"/>
        <v/>
      </c>
      <c r="M67" s="227"/>
      <c r="N67" s="14">
        <f t="shared" si="3"/>
        <v>1</v>
      </c>
      <c r="T67" s="1">
        <f t="shared" si="5"/>
        <v>73</v>
      </c>
      <c r="U67" s="4" t="str">
        <f t="shared" si="6"/>
        <v/>
      </c>
      <c r="V67" s="4" t="e">
        <f>IF($V$3=$M$3,M67,U67*(1+'Rhaniad y Ddeiliadaeth (Cymru)'!C$109)+(U$44*(-(50-$T67)*('Rhaniad y Ddeiliadaeth (Cymru)'!C$110/40))))</f>
        <v>#VALUE!</v>
      </c>
      <c r="W67" s="4" t="e">
        <f>V67*(1+'Rhaniad y Ddeiliadaeth (Cymru)'!D$109)+(V$44*(-(50-$T67)*('Rhaniad y Ddeiliadaeth (Cymru)'!D$110/40)))</f>
        <v>#VALUE!</v>
      </c>
      <c r="X67" s="4" t="e">
        <f>W67*(1+'Rhaniad y Ddeiliadaeth (Cymru)'!E$109)+(W$44*(-(50-$T67)*('Rhaniad y Ddeiliadaeth (Cymru)'!E$110/40)))</f>
        <v>#VALUE!</v>
      </c>
      <c r="Y67" s="4" t="e">
        <f>X67*(1+'Rhaniad y Ddeiliadaeth (Cymru)'!F$109)+(X$44*(-(50-$T67)*('Rhaniad y Ddeiliadaeth (Cymru)'!F$110/40)))</f>
        <v>#VALUE!</v>
      </c>
      <c r="Z67" s="4" t="e">
        <f>Y67*(1+'Rhaniad y Ddeiliadaeth (Cymru)'!G$109)+(Y$44*(-(50-$T67)*('Rhaniad y Ddeiliadaeth (Cymru)'!G$110/40)))</f>
        <v>#VALUE!</v>
      </c>
      <c r="AB67">
        <v>73</v>
      </c>
      <c r="AC67" s="4">
        <f>IF('Rhaniad y Ddeiliadaeth (Cymru)'!$D$8="Amcangyfrifon LlC",'Incwm (Cymru)'!D67,'Incwm (Cymru)'!V67)</f>
        <v>43546.670956467766</v>
      </c>
      <c r="AD67" s="4">
        <f>IF('Rhaniad y Ddeiliadaeth (Cymru)'!$D$8="Amcangyfrifon LlC",'Incwm (Cymru)'!E67,'Incwm (Cymru)'!W67)</f>
        <v>44820.080251757739</v>
      </c>
      <c r="AE67" s="4">
        <f>IF('Rhaniad y Ddeiliadaeth (Cymru)'!$D$8="Amcangyfrifon LlC",'Incwm (Cymru)'!F67,'Incwm (Cymru)'!X67)</f>
        <v>46448.039902523458</v>
      </c>
      <c r="AF67" s="4">
        <f>IF('Rhaniad y Ddeiliadaeth (Cymru)'!$D$8="Amcangyfrifon LlC",'Incwm (Cymru)'!G67,'Incwm (Cymru)'!Y67)</f>
        <v>48333.504991811657</v>
      </c>
      <c r="AG67" s="4">
        <f>IF('Rhaniad y Ddeiliadaeth (Cymru)'!$D$8="Amcangyfrifon LlC",'Incwm (Cymru)'!H67,'Incwm (Cymru)'!Z67)</f>
        <v>50342.126852824294</v>
      </c>
    </row>
    <row r="68" spans="2:33" x14ac:dyDescent="0.25">
      <c r="B68" s="20">
        <v>74</v>
      </c>
      <c r="C68" s="56">
        <v>42877</v>
      </c>
      <c r="D68" s="57">
        <f>C68*(1+'Rhaniad y Ddeiliadaeth (Cymru)'!C$109)+(C$44*(-(50-$B68)*('Rhaniad y Ddeiliadaeth (Cymru)'!C$110/40)))</f>
        <v>44548.850678634793</v>
      </c>
      <c r="E68" s="57">
        <f>D68*(1+'Rhaniad y Ddeiliadaeth (Cymru)'!D$109)+(D$44*(-(50-$B68)*('Rhaniad y Ddeiliadaeth (Cymru)'!D$110/40)))</f>
        <v>45854.71296685352</v>
      </c>
      <c r="F68" s="57">
        <f>E68*(1+'Rhaniad y Ddeiliadaeth (Cymru)'!E$109)+(E$44*(-(50-$B68)*('Rhaniad y Ddeiliadaeth (Cymru)'!E$110/40)))</f>
        <v>47523.469340461001</v>
      </c>
      <c r="G68" s="57">
        <f>F68*(1+'Rhaniad y Ddeiliadaeth (Cymru)'!F$109)+(F$44*(-(50-$B68)*('Rhaniad y Ddeiliadaeth (Cymru)'!F$110/40)))</f>
        <v>49455.900252963875</v>
      </c>
      <c r="H68" s="58">
        <f>G68*(1+'Rhaniad y Ddeiliadaeth (Cymru)'!G$109)+(G$44*(-(50-$B68)*('Rhaniad y Ddeiliadaeth (Cymru)'!G$110/40)))</f>
        <v>51514.58824288188</v>
      </c>
      <c r="L68" s="62" t="str">
        <f t="shared" ref="L68:L84" si="7">IF(ISBLANK($K$4),"",B68)</f>
        <v/>
      </c>
      <c r="M68" s="227"/>
      <c r="N68" s="14">
        <f t="shared" si="3"/>
        <v>1</v>
      </c>
      <c r="T68" s="1">
        <f t="shared" ref="T68:T84" si="8">B68</f>
        <v>74</v>
      </c>
      <c r="U68" s="4" t="str">
        <f t="shared" ref="U68:U84" si="9">IF($M$3=$U$3,M68,"")</f>
        <v/>
      </c>
      <c r="V68" s="4" t="e">
        <f>IF($V$3=$M$3,M68,U68*(1+'Rhaniad y Ddeiliadaeth (Cymru)'!C$109)+(U$44*(-(50-$T68)*('Rhaniad y Ddeiliadaeth (Cymru)'!C$110/40))))</f>
        <v>#VALUE!</v>
      </c>
      <c r="W68" s="4" t="e">
        <f>V68*(1+'Rhaniad y Ddeiliadaeth (Cymru)'!D$109)+(V$44*(-(50-$T68)*('Rhaniad y Ddeiliadaeth (Cymru)'!D$110/40)))</f>
        <v>#VALUE!</v>
      </c>
      <c r="X68" s="4" t="e">
        <f>W68*(1+'Rhaniad y Ddeiliadaeth (Cymru)'!E$109)+(W$44*(-(50-$T68)*('Rhaniad y Ddeiliadaeth (Cymru)'!E$110/40)))</f>
        <v>#VALUE!</v>
      </c>
      <c r="Y68" s="4" t="e">
        <f>X68*(1+'Rhaniad y Ddeiliadaeth (Cymru)'!F$109)+(X$44*(-(50-$T68)*('Rhaniad y Ddeiliadaeth (Cymru)'!F$110/40)))</f>
        <v>#VALUE!</v>
      </c>
      <c r="Z68" s="4" t="e">
        <f>Y68*(1+'Rhaniad y Ddeiliadaeth (Cymru)'!G$109)+(Y$44*(-(50-$T68)*('Rhaniad y Ddeiliadaeth (Cymru)'!G$110/40)))</f>
        <v>#VALUE!</v>
      </c>
      <c r="AB68">
        <v>74</v>
      </c>
      <c r="AC68" s="4">
        <f>IF('Rhaniad y Ddeiliadaeth (Cymru)'!$D$8="Amcangyfrifon LlC",'Incwm (Cymru)'!D68,'Incwm (Cymru)'!V68)</f>
        <v>44548.850678634793</v>
      </c>
      <c r="AD68" s="4">
        <f>IF('Rhaniad y Ddeiliadaeth (Cymru)'!$D$8="Amcangyfrifon LlC",'Incwm (Cymru)'!E68,'Incwm (Cymru)'!W68)</f>
        <v>45854.71296685352</v>
      </c>
      <c r="AE68" s="4">
        <f>IF('Rhaniad y Ddeiliadaeth (Cymru)'!$D$8="Amcangyfrifon LlC",'Incwm (Cymru)'!F68,'Incwm (Cymru)'!X68)</f>
        <v>47523.469340461001</v>
      </c>
      <c r="AF68" s="4">
        <f>IF('Rhaniad y Ddeiliadaeth (Cymru)'!$D$8="Amcangyfrifon LlC",'Incwm (Cymru)'!G68,'Incwm (Cymru)'!Y68)</f>
        <v>49455.900252963875</v>
      </c>
      <c r="AG68" s="4">
        <f>IF('Rhaniad y Ddeiliadaeth (Cymru)'!$D$8="Amcangyfrifon LlC",'Incwm (Cymru)'!H68,'Incwm (Cymru)'!Z68)</f>
        <v>51514.58824288188</v>
      </c>
    </row>
    <row r="69" spans="2:33" x14ac:dyDescent="0.25">
      <c r="B69" s="20">
        <v>75</v>
      </c>
      <c r="C69" s="56">
        <v>44124.6</v>
      </c>
      <c r="D69" s="57">
        <f>C69*(1+'Rhaniad y Ddeiliadaeth (Cymru)'!C$109)+(C$44*(-(50-$B69)*('Rhaniad y Ddeiliadaeth (Cymru)'!C$110/40)))</f>
        <v>45847.044788785395</v>
      </c>
      <c r="E69" s="57">
        <f>D69*(1+'Rhaniad y Ddeiliadaeth (Cymru)'!D$109)+(D$44*(-(50-$B69)*('Rhaniad y Ddeiliadaeth (Cymru)'!D$110/40)))</f>
        <v>47192.970953431824</v>
      </c>
      <c r="F69" s="57">
        <f>E69*(1+'Rhaniad y Ddeiliadaeth (Cymru)'!E$109)+(E$44*(-(50-$B69)*('Rhaniad y Ddeiliadaeth (Cymru)'!E$110/40)))</f>
        <v>48912.483873168538</v>
      </c>
      <c r="G69" s="57">
        <f>F69*(1+'Rhaniad y Ddeiliadaeth (Cymru)'!F$109)+(F$44*(-(50-$B69)*('Rhaniad y Ddeiliadaeth (Cymru)'!F$110/40)))</f>
        <v>50903.510179476136</v>
      </c>
      <c r="H69" s="58">
        <f>G69*(1+'Rhaniad y Ddeiliadaeth (Cymru)'!G$109)+(G$44*(-(50-$B69)*('Rhaniad y Ddeiliadaeth (Cymru)'!G$110/40)))</f>
        <v>53024.642691436595</v>
      </c>
      <c r="L69" s="62" t="str">
        <f t="shared" si="7"/>
        <v/>
      </c>
      <c r="M69" s="227"/>
      <c r="N69" s="14">
        <f t="shared" ref="N69:N84" si="10">IF(ISBLANK(M69),1,0)</f>
        <v>1</v>
      </c>
      <c r="T69" s="1">
        <f t="shared" si="8"/>
        <v>75</v>
      </c>
      <c r="U69" s="4" t="str">
        <f t="shared" si="9"/>
        <v/>
      </c>
      <c r="V69" s="4" t="e">
        <f>IF($V$3=$M$3,M69,U69*(1+'Rhaniad y Ddeiliadaeth (Cymru)'!C$109)+(U$44*(-(50-$T69)*('Rhaniad y Ddeiliadaeth (Cymru)'!C$110/40))))</f>
        <v>#VALUE!</v>
      </c>
      <c r="W69" s="4" t="e">
        <f>V69*(1+'Rhaniad y Ddeiliadaeth (Cymru)'!D$109)+(V$44*(-(50-$T69)*('Rhaniad y Ddeiliadaeth (Cymru)'!D$110/40)))</f>
        <v>#VALUE!</v>
      </c>
      <c r="X69" s="4" t="e">
        <f>W69*(1+'Rhaniad y Ddeiliadaeth (Cymru)'!E$109)+(W$44*(-(50-$T69)*('Rhaniad y Ddeiliadaeth (Cymru)'!E$110/40)))</f>
        <v>#VALUE!</v>
      </c>
      <c r="Y69" s="4" t="e">
        <f>X69*(1+'Rhaniad y Ddeiliadaeth (Cymru)'!F$109)+(X$44*(-(50-$T69)*('Rhaniad y Ddeiliadaeth (Cymru)'!F$110/40)))</f>
        <v>#VALUE!</v>
      </c>
      <c r="Z69" s="4" t="e">
        <f>Y69*(1+'Rhaniad y Ddeiliadaeth (Cymru)'!G$109)+(Y$44*(-(50-$T69)*('Rhaniad y Ddeiliadaeth (Cymru)'!G$110/40)))</f>
        <v>#VALUE!</v>
      </c>
      <c r="AB69">
        <v>75</v>
      </c>
      <c r="AC69" s="4">
        <f>IF('Rhaniad y Ddeiliadaeth (Cymru)'!$D$8="Amcangyfrifon LlC",'Incwm (Cymru)'!D69,'Incwm (Cymru)'!V69)</f>
        <v>45847.044788785395</v>
      </c>
      <c r="AD69" s="4">
        <f>IF('Rhaniad y Ddeiliadaeth (Cymru)'!$D$8="Amcangyfrifon LlC",'Incwm (Cymru)'!E69,'Incwm (Cymru)'!W69)</f>
        <v>47192.970953431824</v>
      </c>
      <c r="AE69" s="4">
        <f>IF('Rhaniad y Ddeiliadaeth (Cymru)'!$D$8="Amcangyfrifon LlC",'Incwm (Cymru)'!F69,'Incwm (Cymru)'!X69)</f>
        <v>48912.483873168538</v>
      </c>
      <c r="AF69" s="4">
        <f>IF('Rhaniad y Ddeiliadaeth (Cymru)'!$D$8="Amcangyfrifon LlC",'Incwm (Cymru)'!G69,'Incwm (Cymru)'!Y69)</f>
        <v>50903.510179476136</v>
      </c>
      <c r="AG69" s="4">
        <f>IF('Rhaniad y Ddeiliadaeth (Cymru)'!$D$8="Amcangyfrifon LlC",'Incwm (Cymru)'!H69,'Incwm (Cymru)'!Z69)</f>
        <v>53024.642691436595</v>
      </c>
    </row>
    <row r="70" spans="2:33" x14ac:dyDescent="0.25">
      <c r="B70" s="20">
        <v>76</v>
      </c>
      <c r="C70" s="56">
        <v>45242</v>
      </c>
      <c r="D70" s="57">
        <f>C70*(1+'Rhaniad y Ddeiliadaeth (Cymru)'!C$109)+(C$44*(-(50-$B70)*('Rhaniad y Ddeiliadaeth (Cymru)'!C$110/40)))</f>
        <v>47010.432766318074</v>
      </c>
      <c r="E70" s="57">
        <f>D70*(1+'Rhaniad y Ddeiliadaeth (Cymru)'!D$109)+(D$44*(-(50-$B70)*('Rhaniad y Ddeiliadaeth (Cymru)'!D$110/40)))</f>
        <v>48392.956780699074</v>
      </c>
      <c r="F70" s="57">
        <f>E70*(1+'Rhaniad y Ddeiliadaeth (Cymru)'!E$109)+(E$44*(-(50-$B70)*('Rhaniad y Ddeiliadaeth (Cymru)'!E$110/40)))</f>
        <v>50158.690503326026</v>
      </c>
      <c r="G70" s="57">
        <f>F70*(1+'Rhaniad y Ddeiliadaeth (Cymru)'!F$109)+(F$44*(-(50-$B70)*('Rhaniad y Ddeiliadaeth (Cymru)'!F$110/40)))</f>
        <v>52203.016050619801</v>
      </c>
      <c r="H70" s="58">
        <f>G70*(1+'Rhaniad y Ddeiliadaeth (Cymru)'!G$109)+(G$44*(-(50-$B70)*('Rhaniad y Ddeiliadaeth (Cymru)'!G$110/40)))</f>
        <v>54380.955915030383</v>
      </c>
      <c r="L70" s="62" t="str">
        <f t="shared" si="7"/>
        <v/>
      </c>
      <c r="M70" s="227"/>
      <c r="N70" s="14">
        <f t="shared" si="10"/>
        <v>1</v>
      </c>
      <c r="T70" s="1">
        <f t="shared" si="8"/>
        <v>76</v>
      </c>
      <c r="U70" s="4" t="str">
        <f t="shared" si="9"/>
        <v/>
      </c>
      <c r="V70" s="4" t="e">
        <f>IF($V$3=$M$3,M70,U70*(1+'Rhaniad y Ddeiliadaeth (Cymru)'!C$109)+(U$44*(-(50-$T70)*('Rhaniad y Ddeiliadaeth (Cymru)'!C$110/40))))</f>
        <v>#VALUE!</v>
      </c>
      <c r="W70" s="4" t="e">
        <f>V70*(1+'Rhaniad y Ddeiliadaeth (Cymru)'!D$109)+(V$44*(-(50-$T70)*('Rhaniad y Ddeiliadaeth (Cymru)'!D$110/40)))</f>
        <v>#VALUE!</v>
      </c>
      <c r="X70" s="4" t="e">
        <f>W70*(1+'Rhaniad y Ddeiliadaeth (Cymru)'!E$109)+(W$44*(-(50-$T70)*('Rhaniad y Ddeiliadaeth (Cymru)'!E$110/40)))</f>
        <v>#VALUE!</v>
      </c>
      <c r="Y70" s="4" t="e">
        <f>X70*(1+'Rhaniad y Ddeiliadaeth (Cymru)'!F$109)+(X$44*(-(50-$T70)*('Rhaniad y Ddeiliadaeth (Cymru)'!F$110/40)))</f>
        <v>#VALUE!</v>
      </c>
      <c r="Z70" s="4" t="e">
        <f>Y70*(1+'Rhaniad y Ddeiliadaeth (Cymru)'!G$109)+(Y$44*(-(50-$T70)*('Rhaniad y Ddeiliadaeth (Cymru)'!G$110/40)))</f>
        <v>#VALUE!</v>
      </c>
      <c r="AB70">
        <v>76</v>
      </c>
      <c r="AC70" s="4">
        <f>IF('Rhaniad y Ddeiliadaeth (Cymru)'!$D$8="Amcangyfrifon LlC",'Incwm (Cymru)'!D70,'Incwm (Cymru)'!V70)</f>
        <v>47010.432766318074</v>
      </c>
      <c r="AD70" s="4">
        <f>IF('Rhaniad y Ddeiliadaeth (Cymru)'!$D$8="Amcangyfrifon LlC",'Incwm (Cymru)'!E70,'Incwm (Cymru)'!W70)</f>
        <v>48392.956780699074</v>
      </c>
      <c r="AE70" s="4">
        <f>IF('Rhaniad y Ddeiliadaeth (Cymru)'!$D$8="Amcangyfrifon LlC",'Incwm (Cymru)'!F70,'Incwm (Cymru)'!X70)</f>
        <v>50158.690503326026</v>
      </c>
      <c r="AF70" s="4">
        <f>IF('Rhaniad y Ddeiliadaeth (Cymru)'!$D$8="Amcangyfrifon LlC",'Incwm (Cymru)'!G70,'Incwm (Cymru)'!Y70)</f>
        <v>52203.016050619801</v>
      </c>
      <c r="AG70" s="4">
        <f>IF('Rhaniad y Ddeiliadaeth (Cymru)'!$D$8="Amcangyfrifon LlC",'Incwm (Cymru)'!H70,'Incwm (Cymru)'!Z70)</f>
        <v>54380.955915030383</v>
      </c>
    </row>
    <row r="71" spans="2:33" x14ac:dyDescent="0.25">
      <c r="B71" s="20">
        <v>77</v>
      </c>
      <c r="C71" s="56">
        <v>46154.5</v>
      </c>
      <c r="D71" s="57">
        <f>C71*(1+'Rhaniad y Ddeiliadaeth (Cymru)'!C$109)+(C$44*(-(50-$B71)*('Rhaniad y Ddeiliadaeth (Cymru)'!C$110/40)))</f>
        <v>47961.671922242393</v>
      </c>
      <c r="E71" s="57">
        <f>D71*(1+'Rhaniad y Ddeiliadaeth (Cymru)'!D$109)+(D$44*(-(50-$B71)*('Rhaniad y Ddeiliadaeth (Cymru)'!D$110/40)))</f>
        <v>49375.339186746452</v>
      </c>
      <c r="F71" s="57">
        <f>E71*(1+'Rhaniad y Ddeiliadaeth (Cymru)'!E$109)+(E$44*(-(50-$B71)*('Rhaniad y Ddeiliadaeth (Cymru)'!E$110/40)))</f>
        <v>51180.155664723934</v>
      </c>
      <c r="G71" s="57">
        <f>F71*(1+'Rhaniad y Ddeiliadaeth (Cymru)'!F$109)+(F$44*(-(50-$B71)*('Rhaniad y Ddeiliadaeth (Cymru)'!F$110/40)))</f>
        <v>53269.445724029065</v>
      </c>
      <c r="H71" s="58">
        <f>G71*(1+'Rhaniad y Ddeiliadaeth (Cymru)'!G$109)+(G$44*(-(50-$B71)*('Rhaniad y Ddeiliadaeth (Cymru)'!G$110/40)))</f>
        <v>55495.321542660349</v>
      </c>
      <c r="L71" s="62" t="str">
        <f t="shared" si="7"/>
        <v/>
      </c>
      <c r="M71" s="227"/>
      <c r="N71" s="14">
        <f t="shared" si="10"/>
        <v>1</v>
      </c>
      <c r="T71" s="1">
        <f t="shared" si="8"/>
        <v>77</v>
      </c>
      <c r="U71" s="4" t="str">
        <f t="shared" si="9"/>
        <v/>
      </c>
      <c r="V71" s="4" t="e">
        <f>IF($V$3=$M$3,M71,U71*(1+'Rhaniad y Ddeiliadaeth (Cymru)'!C$109)+(U$44*(-(50-$T71)*('Rhaniad y Ddeiliadaeth (Cymru)'!C$110/40))))</f>
        <v>#VALUE!</v>
      </c>
      <c r="W71" s="4" t="e">
        <f>V71*(1+'Rhaniad y Ddeiliadaeth (Cymru)'!D$109)+(V$44*(-(50-$T71)*('Rhaniad y Ddeiliadaeth (Cymru)'!D$110/40)))</f>
        <v>#VALUE!</v>
      </c>
      <c r="X71" s="4" t="e">
        <f>W71*(1+'Rhaniad y Ddeiliadaeth (Cymru)'!E$109)+(W$44*(-(50-$T71)*('Rhaniad y Ddeiliadaeth (Cymru)'!E$110/40)))</f>
        <v>#VALUE!</v>
      </c>
      <c r="Y71" s="4" t="e">
        <f>X71*(1+'Rhaniad y Ddeiliadaeth (Cymru)'!F$109)+(X$44*(-(50-$T71)*('Rhaniad y Ddeiliadaeth (Cymru)'!F$110/40)))</f>
        <v>#VALUE!</v>
      </c>
      <c r="Z71" s="4" t="e">
        <f>Y71*(1+'Rhaniad y Ddeiliadaeth (Cymru)'!G$109)+(Y$44*(-(50-$T71)*('Rhaniad y Ddeiliadaeth (Cymru)'!G$110/40)))</f>
        <v>#VALUE!</v>
      </c>
      <c r="AB71">
        <v>77</v>
      </c>
      <c r="AC71" s="4">
        <f>IF('Rhaniad y Ddeiliadaeth (Cymru)'!$D$8="Amcangyfrifon LlC",'Incwm (Cymru)'!D71,'Incwm (Cymru)'!V71)</f>
        <v>47961.671922242393</v>
      </c>
      <c r="AD71" s="4">
        <f>IF('Rhaniad y Ddeiliadaeth (Cymru)'!$D$8="Amcangyfrifon LlC",'Incwm (Cymru)'!E71,'Incwm (Cymru)'!W71)</f>
        <v>49375.339186746452</v>
      </c>
      <c r="AE71" s="4">
        <f>IF('Rhaniad y Ddeiliadaeth (Cymru)'!$D$8="Amcangyfrifon LlC",'Incwm (Cymru)'!F71,'Incwm (Cymru)'!X71)</f>
        <v>51180.155664723934</v>
      </c>
      <c r="AF71" s="4">
        <f>IF('Rhaniad y Ddeiliadaeth (Cymru)'!$D$8="Amcangyfrifon LlC",'Incwm (Cymru)'!G71,'Incwm (Cymru)'!Y71)</f>
        <v>53269.445724029065</v>
      </c>
      <c r="AG71" s="4">
        <f>IF('Rhaniad y Ddeiliadaeth (Cymru)'!$D$8="Amcangyfrifon LlC",'Incwm (Cymru)'!H71,'Incwm (Cymru)'!Z71)</f>
        <v>55495.321542660349</v>
      </c>
    </row>
    <row r="72" spans="2:33" x14ac:dyDescent="0.25">
      <c r="B72" s="20">
        <v>78</v>
      </c>
      <c r="C72" s="56">
        <v>47437.7</v>
      </c>
      <c r="D72" s="57">
        <f>C72*(1+'Rhaniad y Ddeiliadaeth (Cymru)'!C$109)+(C$44*(-(50-$B72)*('Rhaniad y Ddeiliadaeth (Cymru)'!C$110/40)))</f>
        <v>49296.725466503573</v>
      </c>
      <c r="E72" s="57">
        <f>D72*(1+'Rhaniad y Ddeiliadaeth (Cymru)'!D$109)+(D$44*(-(50-$B72)*('Rhaniad y Ddeiliadaeth (Cymru)'!D$110/40)))</f>
        <v>50751.404307514247</v>
      </c>
      <c r="F72" s="57">
        <f>E72*(1+'Rhaniad y Ddeiliadaeth (Cymru)'!E$109)+(E$44*(-(50-$B72)*('Rhaniad y Ddeiliadaeth (Cymru)'!E$110/40)))</f>
        <v>52608.217519480473</v>
      </c>
      <c r="G72" s="57">
        <f>F72*(1+'Rhaniad y Ddeiliadaeth (Cymru)'!F$109)+(F$44*(-(50-$B72)*('Rhaniad y Ddeiliadaeth (Cymru)'!F$110/40)))</f>
        <v>54757.551075818752</v>
      </c>
      <c r="H72" s="58">
        <f>G72*(1+'Rhaniad y Ddeiliadaeth (Cymru)'!G$109)+(G$44*(-(50-$B72)*('Rhaniad y Ddeiliadaeth (Cymru)'!G$110/40)))</f>
        <v>57047.412762402535</v>
      </c>
      <c r="L72" s="62" t="str">
        <f t="shared" si="7"/>
        <v/>
      </c>
      <c r="M72" s="227"/>
      <c r="N72" s="14">
        <f t="shared" si="10"/>
        <v>1</v>
      </c>
      <c r="T72" s="1">
        <f t="shared" si="8"/>
        <v>78</v>
      </c>
      <c r="U72" s="4" t="str">
        <f t="shared" si="9"/>
        <v/>
      </c>
      <c r="V72" s="4" t="e">
        <f>IF($V$3=$M$3,M72,U72*(1+'Rhaniad y Ddeiliadaeth (Cymru)'!C$109)+(U$44*(-(50-$T72)*('Rhaniad y Ddeiliadaeth (Cymru)'!C$110/40))))</f>
        <v>#VALUE!</v>
      </c>
      <c r="W72" s="4" t="e">
        <f>V72*(1+'Rhaniad y Ddeiliadaeth (Cymru)'!D$109)+(V$44*(-(50-$T72)*('Rhaniad y Ddeiliadaeth (Cymru)'!D$110/40)))</f>
        <v>#VALUE!</v>
      </c>
      <c r="X72" s="4" t="e">
        <f>W72*(1+'Rhaniad y Ddeiliadaeth (Cymru)'!E$109)+(W$44*(-(50-$T72)*('Rhaniad y Ddeiliadaeth (Cymru)'!E$110/40)))</f>
        <v>#VALUE!</v>
      </c>
      <c r="Y72" s="4" t="e">
        <f>X72*(1+'Rhaniad y Ddeiliadaeth (Cymru)'!F$109)+(X$44*(-(50-$T72)*('Rhaniad y Ddeiliadaeth (Cymru)'!F$110/40)))</f>
        <v>#VALUE!</v>
      </c>
      <c r="Z72" s="4" t="e">
        <f>Y72*(1+'Rhaniad y Ddeiliadaeth (Cymru)'!G$109)+(Y$44*(-(50-$T72)*('Rhaniad y Ddeiliadaeth (Cymru)'!G$110/40)))</f>
        <v>#VALUE!</v>
      </c>
      <c r="AB72">
        <v>78</v>
      </c>
      <c r="AC72" s="4">
        <f>IF('Rhaniad y Ddeiliadaeth (Cymru)'!$D$8="Amcangyfrifon LlC",'Incwm (Cymru)'!D72,'Incwm (Cymru)'!V72)</f>
        <v>49296.725466503573</v>
      </c>
      <c r="AD72" s="4">
        <f>IF('Rhaniad y Ddeiliadaeth (Cymru)'!$D$8="Amcangyfrifon LlC",'Incwm (Cymru)'!E72,'Incwm (Cymru)'!W72)</f>
        <v>50751.404307514247</v>
      </c>
      <c r="AE72" s="4">
        <f>IF('Rhaniad y Ddeiliadaeth (Cymru)'!$D$8="Amcangyfrifon LlC",'Incwm (Cymru)'!F72,'Incwm (Cymru)'!X72)</f>
        <v>52608.217519480473</v>
      </c>
      <c r="AF72" s="4">
        <f>IF('Rhaniad y Ddeiliadaeth (Cymru)'!$D$8="Amcangyfrifon LlC",'Incwm (Cymru)'!G72,'Incwm (Cymru)'!Y72)</f>
        <v>54757.551075818752</v>
      </c>
      <c r="AG72" s="4">
        <f>IF('Rhaniad y Ddeiliadaeth (Cymru)'!$D$8="Amcangyfrifon LlC",'Incwm (Cymru)'!H72,'Incwm (Cymru)'!Z72)</f>
        <v>57047.412762402535</v>
      </c>
    </row>
    <row r="73" spans="2:33" x14ac:dyDescent="0.25">
      <c r="B73" s="20">
        <v>79</v>
      </c>
      <c r="C73" s="56">
        <v>48662.37</v>
      </c>
      <c r="D73" s="57">
        <f>C73*(1+'Rhaniad y Ddeiliadaeth (Cymru)'!C$109)+(C$44*(-(50-$B73)*('Rhaniad y Ddeiliadaeth (Cymru)'!C$110/40)))</f>
        <v>50571.17837372845</v>
      </c>
      <c r="E73" s="57">
        <f>D73*(1+'Rhaniad y Ddeiliadaeth (Cymru)'!D$109)+(D$44*(-(50-$B73)*('Rhaniad y Ddeiliadaeth (Cymru)'!D$110/40)))</f>
        <v>52065.310676481153</v>
      </c>
      <c r="F73" s="57">
        <f>E73*(1+'Rhaniad y Ddeiliadaeth (Cymru)'!E$109)+(E$44*(-(50-$B73)*('Rhaniad y Ddeiliadaeth (Cymru)'!E$110/40)))</f>
        <v>53972.08162818283</v>
      </c>
      <c r="G73" s="57">
        <f>F73*(1+'Rhaniad y Ddeiliadaeth (Cymru)'!F$109)+(F$44*(-(50-$B73)*('Rhaniad y Ddeiliadaeth (Cymru)'!F$110/40)))</f>
        <v>56179.077853409333</v>
      </c>
      <c r="H73" s="58">
        <f>G73*(1+'Rhaniad y Ddeiliadaeth (Cymru)'!G$109)+(G$44*(-(50-$B73)*('Rhaniad y Ddeiliadaeth (Cymru)'!G$110/40)))</f>
        <v>58530.391279403069</v>
      </c>
      <c r="L73" s="62" t="str">
        <f t="shared" si="7"/>
        <v/>
      </c>
      <c r="M73" s="227"/>
      <c r="N73" s="14">
        <f t="shared" si="10"/>
        <v>1</v>
      </c>
      <c r="T73" s="1">
        <f t="shared" si="8"/>
        <v>79</v>
      </c>
      <c r="U73" s="4" t="str">
        <f t="shared" si="9"/>
        <v/>
      </c>
      <c r="V73" s="4" t="e">
        <f>IF($V$3=$M$3,M73,U73*(1+'Rhaniad y Ddeiliadaeth (Cymru)'!C$109)+(U$44*(-(50-$T73)*('Rhaniad y Ddeiliadaeth (Cymru)'!C$110/40))))</f>
        <v>#VALUE!</v>
      </c>
      <c r="W73" s="4" t="e">
        <f>V73*(1+'Rhaniad y Ddeiliadaeth (Cymru)'!D$109)+(V$44*(-(50-$T73)*('Rhaniad y Ddeiliadaeth (Cymru)'!D$110/40)))</f>
        <v>#VALUE!</v>
      </c>
      <c r="X73" s="4" t="e">
        <f>W73*(1+'Rhaniad y Ddeiliadaeth (Cymru)'!E$109)+(W$44*(-(50-$T73)*('Rhaniad y Ddeiliadaeth (Cymru)'!E$110/40)))</f>
        <v>#VALUE!</v>
      </c>
      <c r="Y73" s="4" t="e">
        <f>X73*(1+'Rhaniad y Ddeiliadaeth (Cymru)'!F$109)+(X$44*(-(50-$T73)*('Rhaniad y Ddeiliadaeth (Cymru)'!F$110/40)))</f>
        <v>#VALUE!</v>
      </c>
      <c r="Z73" s="4" t="e">
        <f>Y73*(1+'Rhaniad y Ddeiliadaeth (Cymru)'!G$109)+(Y$44*(-(50-$T73)*('Rhaniad y Ddeiliadaeth (Cymru)'!G$110/40)))</f>
        <v>#VALUE!</v>
      </c>
      <c r="AB73">
        <v>79</v>
      </c>
      <c r="AC73" s="4">
        <f>IF('Rhaniad y Ddeiliadaeth (Cymru)'!$D$8="Amcangyfrifon LlC",'Incwm (Cymru)'!D73,'Incwm (Cymru)'!V73)</f>
        <v>50571.17837372845</v>
      </c>
      <c r="AD73" s="4">
        <f>IF('Rhaniad y Ddeiliadaeth (Cymru)'!$D$8="Amcangyfrifon LlC",'Incwm (Cymru)'!E73,'Incwm (Cymru)'!W73)</f>
        <v>52065.310676481153</v>
      </c>
      <c r="AE73" s="4">
        <f>IF('Rhaniad y Ddeiliadaeth (Cymru)'!$D$8="Amcangyfrifon LlC",'Incwm (Cymru)'!F73,'Incwm (Cymru)'!X73)</f>
        <v>53972.08162818283</v>
      </c>
      <c r="AF73" s="4">
        <f>IF('Rhaniad y Ddeiliadaeth (Cymru)'!$D$8="Amcangyfrifon LlC",'Incwm (Cymru)'!G73,'Incwm (Cymru)'!Y73)</f>
        <v>56179.077853409333</v>
      </c>
      <c r="AG73" s="4">
        <f>IF('Rhaniad y Ddeiliadaeth (Cymru)'!$D$8="Amcangyfrifon LlC",'Incwm (Cymru)'!H73,'Incwm (Cymru)'!Z73)</f>
        <v>58530.391279403069</v>
      </c>
    </row>
    <row r="74" spans="2:33" x14ac:dyDescent="0.25">
      <c r="B74" s="20">
        <v>80</v>
      </c>
      <c r="C74" s="56">
        <v>49919.75</v>
      </c>
      <c r="D74" s="57">
        <f>C74*(1+'Rhaniad y Ddeiliadaeth (Cymru)'!C$109)+(C$44*(-(50-$B74)*('Rhaniad y Ddeiliadaeth (Cymru)'!C$110/40)))</f>
        <v>51879.498474485838</v>
      </c>
      <c r="E74" s="57">
        <f>D74*(1+'Rhaniad y Ddeiliadaeth (Cymru)'!D$109)+(D$44*(-(50-$B74)*('Rhaniad y Ddeiliadaeth (Cymru)'!D$110/40)))</f>
        <v>53413.95500498006</v>
      </c>
      <c r="F74" s="57">
        <f>E74*(1+'Rhaniad y Ddeiliadaeth (Cymru)'!E$109)+(E$44*(-(50-$B74)*('Rhaniad y Ddeiliadaeth (Cymru)'!E$110/40)))</f>
        <v>55371.823206104957</v>
      </c>
      <c r="G74" s="57">
        <f>F74*(1+'Rhaniad y Ddeiliadaeth (Cymru)'!F$109)+(F$44*(-(50-$B74)*('Rhaniad y Ddeiliadaeth (Cymru)'!F$110/40)))</f>
        <v>57637.812646753431</v>
      </c>
      <c r="H74" s="58">
        <f>G74*(1+'Rhaniad y Ddeiliadaeth (Cymru)'!G$109)+(G$44*(-(50-$B74)*('Rhaniad y Ddeiliadaeth (Cymru)'!G$110/40)))</f>
        <v>60051.994031952549</v>
      </c>
      <c r="L74" s="62" t="str">
        <f t="shared" si="7"/>
        <v/>
      </c>
      <c r="M74" s="227"/>
      <c r="N74" s="14">
        <f t="shared" si="10"/>
        <v>1</v>
      </c>
      <c r="T74" s="1">
        <f t="shared" si="8"/>
        <v>80</v>
      </c>
      <c r="U74" s="4" t="str">
        <f t="shared" si="9"/>
        <v/>
      </c>
      <c r="V74" s="4" t="e">
        <f>IF($V$3=$M$3,M74,U74*(1+'Rhaniad y Ddeiliadaeth (Cymru)'!C$109)+(U$44*(-(50-$T74)*('Rhaniad y Ddeiliadaeth (Cymru)'!C$110/40))))</f>
        <v>#VALUE!</v>
      </c>
      <c r="W74" s="4" t="e">
        <f>V74*(1+'Rhaniad y Ddeiliadaeth (Cymru)'!D$109)+(V$44*(-(50-$T74)*('Rhaniad y Ddeiliadaeth (Cymru)'!D$110/40)))</f>
        <v>#VALUE!</v>
      </c>
      <c r="X74" s="4" t="e">
        <f>W74*(1+'Rhaniad y Ddeiliadaeth (Cymru)'!E$109)+(W$44*(-(50-$T74)*('Rhaniad y Ddeiliadaeth (Cymru)'!E$110/40)))</f>
        <v>#VALUE!</v>
      </c>
      <c r="Y74" s="4" t="e">
        <f>X74*(1+'Rhaniad y Ddeiliadaeth (Cymru)'!F$109)+(X$44*(-(50-$T74)*('Rhaniad y Ddeiliadaeth (Cymru)'!F$110/40)))</f>
        <v>#VALUE!</v>
      </c>
      <c r="Z74" s="4" t="e">
        <f>Y74*(1+'Rhaniad y Ddeiliadaeth (Cymru)'!G$109)+(Y$44*(-(50-$T74)*('Rhaniad y Ddeiliadaeth (Cymru)'!G$110/40)))</f>
        <v>#VALUE!</v>
      </c>
      <c r="AB74">
        <v>80</v>
      </c>
      <c r="AC74" s="4">
        <f>IF('Rhaniad y Ddeiliadaeth (Cymru)'!$D$8="Amcangyfrifon LlC",'Incwm (Cymru)'!D74,'Incwm (Cymru)'!V74)</f>
        <v>51879.498474485838</v>
      </c>
      <c r="AD74" s="4">
        <f>IF('Rhaniad y Ddeiliadaeth (Cymru)'!$D$8="Amcangyfrifon LlC",'Incwm (Cymru)'!E74,'Incwm (Cymru)'!W74)</f>
        <v>53413.95500498006</v>
      </c>
      <c r="AE74" s="4">
        <f>IF('Rhaniad y Ddeiliadaeth (Cymru)'!$D$8="Amcangyfrifon LlC",'Incwm (Cymru)'!F74,'Incwm (Cymru)'!X74)</f>
        <v>55371.823206104957</v>
      </c>
      <c r="AF74" s="4">
        <f>IF('Rhaniad y Ddeiliadaeth (Cymru)'!$D$8="Amcangyfrifon LlC",'Incwm (Cymru)'!G74,'Incwm (Cymru)'!Y74)</f>
        <v>57637.812646753431</v>
      </c>
      <c r="AG74" s="4">
        <f>IF('Rhaniad y Ddeiliadaeth (Cymru)'!$D$8="Amcangyfrifon LlC",'Incwm (Cymru)'!H74,'Incwm (Cymru)'!Z74)</f>
        <v>60051.994031952549</v>
      </c>
    </row>
    <row r="75" spans="2:33" x14ac:dyDescent="0.25">
      <c r="B75" s="20">
        <v>81</v>
      </c>
      <c r="C75" s="56">
        <v>51071</v>
      </c>
      <c r="D75" s="57">
        <f>C75*(1+'Rhaniad y Ddeiliadaeth (Cymru)'!C$109)+(C$44*(-(50-$B75)*('Rhaniad y Ddeiliadaeth (Cymru)'!C$110/40)))</f>
        <v>53077.933975744454</v>
      </c>
      <c r="E75" s="57">
        <f>D75*(1+'Rhaniad y Ddeiliadaeth (Cymru)'!D$109)+(D$44*(-(50-$B75)*('Rhaniad y Ddeiliadaeth (Cymru)'!D$110/40)))</f>
        <v>54649.889469671885</v>
      </c>
      <c r="F75" s="57">
        <f>E75*(1+'Rhaniad y Ddeiliadaeth (Cymru)'!E$109)+(E$44*(-(50-$B75)*('Rhaniad y Ddeiliadaeth (Cymru)'!E$110/40)))</f>
        <v>56655.15769725568</v>
      </c>
      <c r="G75" s="57">
        <f>F75*(1+'Rhaniad y Ddeiliadaeth (Cymru)'!F$109)+(F$44*(-(50-$B75)*('Rhaniad y Ddeiliadaeth (Cymru)'!F$110/40)))</f>
        <v>58975.823297269031</v>
      </c>
      <c r="H75" s="58">
        <f>G75*(1+'Rhaniad y Ddeiliadaeth (Cymru)'!G$109)+(G$44*(-(50-$B75)*('Rhaniad y Ddeiliadaeth (Cymru)'!G$110/40)))</f>
        <v>61448.277612419806</v>
      </c>
      <c r="L75" s="62" t="str">
        <f t="shared" si="7"/>
        <v/>
      </c>
      <c r="M75" s="227"/>
      <c r="N75" s="14">
        <f t="shared" si="10"/>
        <v>1</v>
      </c>
      <c r="T75" s="1">
        <f t="shared" si="8"/>
        <v>81</v>
      </c>
      <c r="U75" s="4" t="str">
        <f t="shared" si="9"/>
        <v/>
      </c>
      <c r="V75" s="4" t="e">
        <f>IF($V$3=$M$3,M75,U75*(1+'Rhaniad y Ddeiliadaeth (Cymru)'!C$109)+(U$44*(-(50-$T75)*('Rhaniad y Ddeiliadaeth (Cymru)'!C$110/40))))</f>
        <v>#VALUE!</v>
      </c>
      <c r="W75" s="4" t="e">
        <f>V75*(1+'Rhaniad y Ddeiliadaeth (Cymru)'!D$109)+(V$44*(-(50-$T75)*('Rhaniad y Ddeiliadaeth (Cymru)'!D$110/40)))</f>
        <v>#VALUE!</v>
      </c>
      <c r="X75" s="4" t="e">
        <f>W75*(1+'Rhaniad y Ddeiliadaeth (Cymru)'!E$109)+(W$44*(-(50-$T75)*('Rhaniad y Ddeiliadaeth (Cymru)'!E$110/40)))</f>
        <v>#VALUE!</v>
      </c>
      <c r="Y75" s="4" t="e">
        <f>X75*(1+'Rhaniad y Ddeiliadaeth (Cymru)'!F$109)+(X$44*(-(50-$T75)*('Rhaniad y Ddeiliadaeth (Cymru)'!F$110/40)))</f>
        <v>#VALUE!</v>
      </c>
      <c r="Z75" s="4" t="e">
        <f>Y75*(1+'Rhaniad y Ddeiliadaeth (Cymru)'!G$109)+(Y$44*(-(50-$T75)*('Rhaniad y Ddeiliadaeth (Cymru)'!G$110/40)))</f>
        <v>#VALUE!</v>
      </c>
      <c r="AB75">
        <v>81</v>
      </c>
      <c r="AC75" s="4">
        <f>IF('Rhaniad y Ddeiliadaeth (Cymru)'!$D$8="Amcangyfrifon LlC",'Incwm (Cymru)'!D75,'Incwm (Cymru)'!V75)</f>
        <v>53077.933975744454</v>
      </c>
      <c r="AD75" s="4">
        <f>IF('Rhaniad y Ddeiliadaeth (Cymru)'!$D$8="Amcangyfrifon LlC",'Incwm (Cymru)'!E75,'Incwm (Cymru)'!W75)</f>
        <v>54649.889469671885</v>
      </c>
      <c r="AE75" s="4">
        <f>IF('Rhaniad y Ddeiliadaeth (Cymru)'!$D$8="Amcangyfrifon LlC",'Incwm (Cymru)'!F75,'Incwm (Cymru)'!X75)</f>
        <v>56655.15769725568</v>
      </c>
      <c r="AF75" s="4">
        <f>IF('Rhaniad y Ddeiliadaeth (Cymru)'!$D$8="Amcangyfrifon LlC",'Incwm (Cymru)'!G75,'Incwm (Cymru)'!Y75)</f>
        <v>58975.823297269031</v>
      </c>
      <c r="AG75" s="4">
        <f>IF('Rhaniad y Ddeiliadaeth (Cymru)'!$D$8="Amcangyfrifon LlC",'Incwm (Cymru)'!H75,'Incwm (Cymru)'!Z75)</f>
        <v>61448.277612419806</v>
      </c>
    </row>
    <row r="76" spans="2:33" x14ac:dyDescent="0.25">
      <c r="B76" s="20">
        <v>82</v>
      </c>
      <c r="C76" s="56">
        <v>52464.21</v>
      </c>
      <c r="D76" s="57">
        <f>C76*(1+'Rhaniad y Ddeiliadaeth (Cymru)'!C$109)+(C$44*(-(50-$B76)*('Rhaniad y Ddeiliadaeth (Cymru)'!C$110/40)))</f>
        <v>54526.889383671507</v>
      </c>
      <c r="E76" s="57">
        <f>D76*(1+'Rhaniad y Ddeiliadaeth (Cymru)'!D$109)+(D$44*(-(50-$B76)*('Rhaniad y Ddeiliadaeth (Cymru)'!D$110/40)))</f>
        <v>56142.785007074141</v>
      </c>
      <c r="F76" s="57">
        <f>E76*(1+'Rhaniad y Ddeiliadaeth (Cymru)'!E$109)+(E$44*(-(50-$B76)*('Rhaniad y Ddeiliadaeth (Cymru)'!E$110/40)))</f>
        <v>58203.882358152987</v>
      </c>
      <c r="G76" s="57">
        <f>F76*(1+'Rhaniad y Ddeiliadaeth (Cymru)'!F$109)+(F$44*(-(50-$B76)*('Rhaniad y Ddeiliadaeth (Cymru)'!F$110/40)))</f>
        <v>60589.066338237659</v>
      </c>
      <c r="H76" s="58">
        <f>G76*(1+'Rhaniad y Ddeiliadaeth (Cymru)'!G$109)+(G$44*(-(50-$B76)*('Rhaniad y Ddeiliadaeth (Cymru)'!G$110/40)))</f>
        <v>63130.269539980356</v>
      </c>
      <c r="L76" s="62" t="str">
        <f t="shared" si="7"/>
        <v/>
      </c>
      <c r="M76" s="227"/>
      <c r="N76" s="14">
        <f t="shared" si="10"/>
        <v>1</v>
      </c>
      <c r="T76" s="1">
        <f t="shared" si="8"/>
        <v>82</v>
      </c>
      <c r="U76" s="4" t="str">
        <f t="shared" si="9"/>
        <v/>
      </c>
      <c r="V76" s="4" t="e">
        <f>IF($V$3=$M$3,M76,U76*(1+'Rhaniad y Ddeiliadaeth (Cymru)'!C$109)+(U$44*(-(50-$T76)*('Rhaniad y Ddeiliadaeth (Cymru)'!C$110/40))))</f>
        <v>#VALUE!</v>
      </c>
      <c r="W76" s="4" t="e">
        <f>V76*(1+'Rhaniad y Ddeiliadaeth (Cymru)'!D$109)+(V$44*(-(50-$T76)*('Rhaniad y Ddeiliadaeth (Cymru)'!D$110/40)))</f>
        <v>#VALUE!</v>
      </c>
      <c r="X76" s="4" t="e">
        <f>W76*(1+'Rhaniad y Ddeiliadaeth (Cymru)'!E$109)+(W$44*(-(50-$T76)*('Rhaniad y Ddeiliadaeth (Cymru)'!E$110/40)))</f>
        <v>#VALUE!</v>
      </c>
      <c r="Y76" s="4" t="e">
        <f>X76*(1+'Rhaniad y Ddeiliadaeth (Cymru)'!F$109)+(X$44*(-(50-$T76)*('Rhaniad y Ddeiliadaeth (Cymru)'!F$110/40)))</f>
        <v>#VALUE!</v>
      </c>
      <c r="Z76" s="4" t="e">
        <f>Y76*(1+'Rhaniad y Ddeiliadaeth (Cymru)'!G$109)+(Y$44*(-(50-$T76)*('Rhaniad y Ddeiliadaeth (Cymru)'!G$110/40)))</f>
        <v>#VALUE!</v>
      </c>
      <c r="AB76">
        <v>82</v>
      </c>
      <c r="AC76" s="4">
        <f>IF('Rhaniad y Ddeiliadaeth (Cymru)'!$D$8="Amcangyfrifon LlC",'Incwm (Cymru)'!D76,'Incwm (Cymru)'!V76)</f>
        <v>54526.889383671507</v>
      </c>
      <c r="AD76" s="4">
        <f>IF('Rhaniad y Ddeiliadaeth (Cymru)'!$D$8="Amcangyfrifon LlC",'Incwm (Cymru)'!E76,'Incwm (Cymru)'!W76)</f>
        <v>56142.785007074141</v>
      </c>
      <c r="AE76" s="4">
        <f>IF('Rhaniad y Ddeiliadaeth (Cymru)'!$D$8="Amcangyfrifon LlC",'Incwm (Cymru)'!F76,'Incwm (Cymru)'!X76)</f>
        <v>58203.882358152987</v>
      </c>
      <c r="AF76" s="4">
        <f>IF('Rhaniad y Ddeiliadaeth (Cymru)'!$D$8="Amcangyfrifon LlC",'Incwm (Cymru)'!G76,'Incwm (Cymru)'!Y76)</f>
        <v>60589.066338237659</v>
      </c>
      <c r="AG76" s="4">
        <f>IF('Rhaniad y Ddeiliadaeth (Cymru)'!$D$8="Amcangyfrifon LlC",'Incwm (Cymru)'!H76,'Incwm (Cymru)'!Z76)</f>
        <v>63130.269539980356</v>
      </c>
    </row>
    <row r="77" spans="2:33" x14ac:dyDescent="0.25">
      <c r="B77" s="20">
        <v>83</v>
      </c>
      <c r="C77" s="56">
        <v>53747.05</v>
      </c>
      <c r="D77" s="57">
        <f>C77*(1+'Rhaniad y Ddeiliadaeth (Cymru)'!C$109)+(C$44*(-(50-$B77)*('Rhaniad y Ddeiliadaeth (Cymru)'!C$110/40)))</f>
        <v>55861.570192082138</v>
      </c>
      <c r="E77" s="57">
        <f>D77*(1+'Rhaniad y Ddeiliadaeth (Cymru)'!D$109)+(D$44*(-(50-$B77)*('Rhaniad y Ddeiliadaeth (Cymru)'!D$110/40)))</f>
        <v>57518.467808507441</v>
      </c>
      <c r="F77" s="57">
        <f>E77*(1+'Rhaniad y Ddeiliadaeth (Cymru)'!E$109)+(E$44*(-(50-$B77)*('Rhaniad y Ddeiliadaeth (Cymru)'!E$110/40)))</f>
        <v>59631.549352349481</v>
      </c>
      <c r="G77" s="57">
        <f>F77*(1+'Rhaniad y Ddeiliadaeth (Cymru)'!F$109)+(F$44*(-(50-$B77)*('Rhaniad y Ddeiliadaeth (Cymru)'!F$110/40)))</f>
        <v>62076.762185726788</v>
      </c>
      <c r="H77" s="58">
        <f>G77*(1+'Rhaniad y Ddeiliadaeth (Cymru)'!G$109)+(G$44*(-(50-$B77)*('Rhaniad y Ddeiliadaeth (Cymru)'!G$110/40)))</f>
        <v>64681.935668777951</v>
      </c>
      <c r="L77" s="62" t="str">
        <f t="shared" si="7"/>
        <v/>
      </c>
      <c r="M77" s="227"/>
      <c r="N77" s="14">
        <f t="shared" si="10"/>
        <v>1</v>
      </c>
      <c r="T77" s="1">
        <f t="shared" si="8"/>
        <v>83</v>
      </c>
      <c r="U77" s="4" t="str">
        <f t="shared" si="9"/>
        <v/>
      </c>
      <c r="V77" s="4" t="e">
        <f>IF($V$3=$M$3,M77,U77*(1+'Rhaniad y Ddeiliadaeth (Cymru)'!C$109)+(U$44*(-(50-$T77)*('Rhaniad y Ddeiliadaeth (Cymru)'!C$110/40))))</f>
        <v>#VALUE!</v>
      </c>
      <c r="W77" s="4" t="e">
        <f>V77*(1+'Rhaniad y Ddeiliadaeth (Cymru)'!D$109)+(V$44*(-(50-$T77)*('Rhaniad y Ddeiliadaeth (Cymru)'!D$110/40)))</f>
        <v>#VALUE!</v>
      </c>
      <c r="X77" s="4" t="e">
        <f>W77*(1+'Rhaniad y Ddeiliadaeth (Cymru)'!E$109)+(W$44*(-(50-$T77)*('Rhaniad y Ddeiliadaeth (Cymru)'!E$110/40)))</f>
        <v>#VALUE!</v>
      </c>
      <c r="Y77" s="4" t="e">
        <f>X77*(1+'Rhaniad y Ddeiliadaeth (Cymru)'!F$109)+(X$44*(-(50-$T77)*('Rhaniad y Ddeiliadaeth (Cymru)'!F$110/40)))</f>
        <v>#VALUE!</v>
      </c>
      <c r="Z77" s="4" t="e">
        <f>Y77*(1+'Rhaniad y Ddeiliadaeth (Cymru)'!G$109)+(Y$44*(-(50-$T77)*('Rhaniad y Ddeiliadaeth (Cymru)'!G$110/40)))</f>
        <v>#VALUE!</v>
      </c>
      <c r="AB77">
        <v>83</v>
      </c>
      <c r="AC77" s="4">
        <f>IF('Rhaniad y Ddeiliadaeth (Cymru)'!$D$8="Amcangyfrifon LlC",'Incwm (Cymru)'!D77,'Incwm (Cymru)'!V77)</f>
        <v>55861.570192082138</v>
      </c>
      <c r="AD77" s="4">
        <f>IF('Rhaniad y Ddeiliadaeth (Cymru)'!$D$8="Amcangyfrifon LlC",'Incwm (Cymru)'!E77,'Incwm (Cymru)'!W77)</f>
        <v>57518.467808507441</v>
      </c>
      <c r="AE77" s="4">
        <f>IF('Rhaniad y Ddeiliadaeth (Cymru)'!$D$8="Amcangyfrifon LlC",'Incwm (Cymru)'!F77,'Incwm (Cymru)'!X77)</f>
        <v>59631.549352349481</v>
      </c>
      <c r="AF77" s="4">
        <f>IF('Rhaniad y Ddeiliadaeth (Cymru)'!$D$8="Amcangyfrifon LlC",'Incwm (Cymru)'!G77,'Incwm (Cymru)'!Y77)</f>
        <v>62076.762185726788</v>
      </c>
      <c r="AG77" s="4">
        <f>IF('Rhaniad y Ddeiliadaeth (Cymru)'!$D$8="Amcangyfrifon LlC",'Incwm (Cymru)'!H77,'Incwm (Cymru)'!Z77)</f>
        <v>64681.935668777951</v>
      </c>
    </row>
    <row r="78" spans="2:33" x14ac:dyDescent="0.25">
      <c r="B78" s="20">
        <v>84</v>
      </c>
      <c r="C78" s="56">
        <v>55276</v>
      </c>
      <c r="D78" s="57">
        <f>C78*(1+'Rhaniad y Ddeiliadaeth (Cymru)'!C$109)+(C$44*(-(50-$B78)*('Rhaniad y Ddeiliadaeth (Cymru)'!C$110/40)))</f>
        <v>57451.06772321622</v>
      </c>
      <c r="E78" s="57">
        <f>D78*(1+'Rhaniad y Ddeiliadaeth (Cymru)'!D$109)+(D$44*(-(50-$B78)*('Rhaniad y Ddeiliadaeth (Cymru)'!D$110/40)))</f>
        <v>59155.51897497943</v>
      </c>
      <c r="F78" s="57">
        <f>E78*(1+'Rhaniad y Ddeiliadaeth (Cymru)'!E$109)+(E$44*(-(50-$B78)*('Rhaniad y Ddeiliadaeth (Cymru)'!E$110/40)))</f>
        <v>61329.158381081965</v>
      </c>
      <c r="G78" s="57">
        <f>F78*(1+'Rhaniad y Ddeiliadaeth (Cymru)'!F$109)+(F$44*(-(50-$B78)*('Rhaniad y Ddeiliadaeth (Cymru)'!F$110/40)))</f>
        <v>63844.411098244804</v>
      </c>
      <c r="H78" s="58">
        <f>G78*(1+'Rhaniad y Ddeiliadaeth (Cymru)'!G$109)+(G$44*(-(50-$B78)*('Rhaniad y Ddeiliadaeth (Cymru)'!G$110/40)))</f>
        <v>66524.210498613422</v>
      </c>
      <c r="L78" s="62" t="str">
        <f t="shared" si="7"/>
        <v/>
      </c>
      <c r="M78" s="227"/>
      <c r="N78" s="14">
        <f t="shared" si="10"/>
        <v>1</v>
      </c>
      <c r="T78" s="1">
        <f t="shared" si="8"/>
        <v>84</v>
      </c>
      <c r="U78" s="4" t="str">
        <f t="shared" si="9"/>
        <v/>
      </c>
      <c r="V78" s="4" t="e">
        <f>IF($V$3=$M$3,M78,U78*(1+'Rhaniad y Ddeiliadaeth (Cymru)'!C$109)+(U$44*(-(50-$T78)*('Rhaniad y Ddeiliadaeth (Cymru)'!C$110/40))))</f>
        <v>#VALUE!</v>
      </c>
      <c r="W78" s="4" t="e">
        <f>V78*(1+'Rhaniad y Ddeiliadaeth (Cymru)'!D$109)+(V$44*(-(50-$T78)*('Rhaniad y Ddeiliadaeth (Cymru)'!D$110/40)))</f>
        <v>#VALUE!</v>
      </c>
      <c r="X78" s="4" t="e">
        <f>W78*(1+'Rhaniad y Ddeiliadaeth (Cymru)'!E$109)+(W$44*(-(50-$T78)*('Rhaniad y Ddeiliadaeth (Cymru)'!E$110/40)))</f>
        <v>#VALUE!</v>
      </c>
      <c r="Y78" s="4" t="e">
        <f>X78*(1+'Rhaniad y Ddeiliadaeth (Cymru)'!F$109)+(X$44*(-(50-$T78)*('Rhaniad y Ddeiliadaeth (Cymru)'!F$110/40)))</f>
        <v>#VALUE!</v>
      </c>
      <c r="Z78" s="4" t="e">
        <f>Y78*(1+'Rhaniad y Ddeiliadaeth (Cymru)'!G$109)+(Y$44*(-(50-$T78)*('Rhaniad y Ddeiliadaeth (Cymru)'!G$110/40)))</f>
        <v>#VALUE!</v>
      </c>
      <c r="AB78">
        <v>84</v>
      </c>
      <c r="AC78" s="4">
        <f>IF('Rhaniad y Ddeiliadaeth (Cymru)'!$D$8="Amcangyfrifon LlC",'Incwm (Cymru)'!D78,'Incwm (Cymru)'!V78)</f>
        <v>57451.06772321622</v>
      </c>
      <c r="AD78" s="4">
        <f>IF('Rhaniad y Ddeiliadaeth (Cymru)'!$D$8="Amcangyfrifon LlC",'Incwm (Cymru)'!E78,'Incwm (Cymru)'!W78)</f>
        <v>59155.51897497943</v>
      </c>
      <c r="AE78" s="4">
        <f>IF('Rhaniad y Ddeiliadaeth (Cymru)'!$D$8="Amcangyfrifon LlC",'Incwm (Cymru)'!F78,'Incwm (Cymru)'!X78)</f>
        <v>61329.158381081965</v>
      </c>
      <c r="AF78" s="4">
        <f>IF('Rhaniad y Ddeiliadaeth (Cymru)'!$D$8="Amcangyfrifon LlC",'Incwm (Cymru)'!G78,'Incwm (Cymru)'!Y78)</f>
        <v>63844.411098244804</v>
      </c>
      <c r="AG78" s="4">
        <f>IF('Rhaniad y Ddeiliadaeth (Cymru)'!$D$8="Amcangyfrifon LlC",'Incwm (Cymru)'!H78,'Incwm (Cymru)'!Z78)</f>
        <v>66524.210498613422</v>
      </c>
    </row>
    <row r="79" spans="2:33" x14ac:dyDescent="0.25">
      <c r="B79" s="20">
        <v>85</v>
      </c>
      <c r="C79" s="56">
        <v>56795.5</v>
      </c>
      <c r="D79" s="57">
        <f>C79*(1+'Rhaniad y Ddeiliadaeth (Cymru)'!C$109)+(C$44*(-(50-$B79)*('Rhaniad y Ddeiliadaeth (Cymru)'!C$110/40)))</f>
        <v>59030.780938273194</v>
      </c>
      <c r="E79" s="57">
        <f>D79*(1+'Rhaniad y Ddeiliadaeth (Cymru)'!D$109)+(D$44*(-(50-$B79)*('Rhaniad y Ddeiliadaeth (Cymru)'!D$110/40)))</f>
        <v>60782.534258920772</v>
      </c>
      <c r="F79" s="57">
        <f>E79*(1+'Rhaniad y Ddeiliadaeth (Cymru)'!E$109)+(E$44*(-(50-$B79)*('Rhaniad y Ddeiliadaeth (Cymru)'!E$110/40)))</f>
        <v>63016.40232011323</v>
      </c>
      <c r="G79" s="57">
        <f>F79*(1+'Rhaniad y Ddeiliadaeth (Cymru)'!F$109)+(F$44*(-(50-$B79)*('Rhaniad y Ddeiliadaeth (Cymru)'!F$110/40)))</f>
        <v>65601.310522873144</v>
      </c>
      <c r="H79" s="58">
        <f>G79*(1+'Rhaniad y Ddeiliadaeth (Cymru)'!G$109)+(G$44*(-(50-$B79)*('Rhaniad y Ddeiliadaeth (Cymru)'!G$110/40)))</f>
        <v>68355.326691153314</v>
      </c>
      <c r="L79" s="62" t="str">
        <f t="shared" si="7"/>
        <v/>
      </c>
      <c r="M79" s="227"/>
      <c r="N79" s="14">
        <f t="shared" si="10"/>
        <v>1</v>
      </c>
      <c r="T79" s="1">
        <f t="shared" si="8"/>
        <v>85</v>
      </c>
      <c r="U79" s="4" t="str">
        <f t="shared" si="9"/>
        <v/>
      </c>
      <c r="V79" s="4" t="e">
        <f>IF($V$3=$M$3,M79,U79*(1+'Rhaniad y Ddeiliadaeth (Cymru)'!C$109)+(U$44*(-(50-$T79)*('Rhaniad y Ddeiliadaeth (Cymru)'!C$110/40))))</f>
        <v>#VALUE!</v>
      </c>
      <c r="W79" s="4" t="e">
        <f>V79*(1+'Rhaniad y Ddeiliadaeth (Cymru)'!D$109)+(V$44*(-(50-$T79)*('Rhaniad y Ddeiliadaeth (Cymru)'!D$110/40)))</f>
        <v>#VALUE!</v>
      </c>
      <c r="X79" s="4" t="e">
        <f>W79*(1+'Rhaniad y Ddeiliadaeth (Cymru)'!E$109)+(W$44*(-(50-$T79)*('Rhaniad y Ddeiliadaeth (Cymru)'!E$110/40)))</f>
        <v>#VALUE!</v>
      </c>
      <c r="Y79" s="4" t="e">
        <f>X79*(1+'Rhaniad y Ddeiliadaeth (Cymru)'!F$109)+(X$44*(-(50-$T79)*('Rhaniad y Ddeiliadaeth (Cymru)'!F$110/40)))</f>
        <v>#VALUE!</v>
      </c>
      <c r="Z79" s="4" t="e">
        <f>Y79*(1+'Rhaniad y Ddeiliadaeth (Cymru)'!G$109)+(Y$44*(-(50-$T79)*('Rhaniad y Ddeiliadaeth (Cymru)'!G$110/40)))</f>
        <v>#VALUE!</v>
      </c>
      <c r="AB79">
        <v>85</v>
      </c>
      <c r="AC79" s="4">
        <f>IF('Rhaniad y Ddeiliadaeth (Cymru)'!$D$8="Amcangyfrifon LlC",'Incwm (Cymru)'!D79,'Incwm (Cymru)'!V79)</f>
        <v>59030.780938273194</v>
      </c>
      <c r="AD79" s="4">
        <f>IF('Rhaniad y Ddeiliadaeth (Cymru)'!$D$8="Amcangyfrifon LlC",'Incwm (Cymru)'!E79,'Incwm (Cymru)'!W79)</f>
        <v>60782.534258920772</v>
      </c>
      <c r="AE79" s="4">
        <f>IF('Rhaniad y Ddeiliadaeth (Cymru)'!$D$8="Amcangyfrifon LlC",'Incwm (Cymru)'!F79,'Incwm (Cymru)'!X79)</f>
        <v>63016.40232011323</v>
      </c>
      <c r="AF79" s="4">
        <f>IF('Rhaniad y Ddeiliadaeth (Cymru)'!$D$8="Amcangyfrifon LlC",'Incwm (Cymru)'!G79,'Incwm (Cymru)'!Y79)</f>
        <v>65601.310522873144</v>
      </c>
      <c r="AG79" s="4">
        <f>IF('Rhaniad y Ddeiliadaeth (Cymru)'!$D$8="Amcangyfrifon LlC",'Incwm (Cymru)'!H79,'Incwm (Cymru)'!Z79)</f>
        <v>68355.326691153314</v>
      </c>
    </row>
    <row r="80" spans="2:33" x14ac:dyDescent="0.25">
      <c r="B80" s="20">
        <v>86</v>
      </c>
      <c r="C80" s="56">
        <v>58636.7</v>
      </c>
      <c r="D80" s="57">
        <f>C80*(1+'Rhaniad y Ddeiliadaeth (Cymru)'!C$109)+(C$44*(-(50-$B80)*('Rhaniad y Ddeiliadaeth (Cymru)'!C$110/40)))</f>
        <v>60943.575050896856</v>
      </c>
      <c r="E80" s="57">
        <f>D80*(1+'Rhaniad y Ddeiliadaeth (Cymru)'!D$109)+(D$44*(-(50-$B80)*('Rhaniad y Ddeiliadaeth (Cymru)'!D$110/40)))</f>
        <v>62751.194348164412</v>
      </c>
      <c r="F80" s="57">
        <f>E80*(1+'Rhaniad y Ddeiliadaeth (Cymru)'!E$109)+(E$44*(-(50-$B80)*('Rhaniad y Ddeiliadaeth (Cymru)'!E$110/40)))</f>
        <v>65056.498042941297</v>
      </c>
      <c r="G80" s="57">
        <f>F80*(1+'Rhaniad y Ddeiliadaeth (Cymru)'!F$109)+(F$44*(-(50-$B80)*('Rhaniad y Ddeiliadaeth (Cymru)'!F$110/40)))</f>
        <v>67724.147540528167</v>
      </c>
      <c r="H80" s="58">
        <f>G80*(1+'Rhaniad y Ddeiliadaeth (Cymru)'!G$109)+(G$44*(-(50-$B80)*('Rhaniad y Ddeiliadaeth (Cymru)'!G$110/40)))</f>
        <v>70566.30887501371</v>
      </c>
      <c r="L80" s="62" t="str">
        <f t="shared" si="7"/>
        <v/>
      </c>
      <c r="M80" s="227"/>
      <c r="N80" s="14">
        <f t="shared" si="10"/>
        <v>1</v>
      </c>
      <c r="T80" s="1">
        <f t="shared" si="8"/>
        <v>86</v>
      </c>
      <c r="U80" s="4" t="str">
        <f t="shared" si="9"/>
        <v/>
      </c>
      <c r="V80" s="4" t="e">
        <f>IF($V$3=$M$3,M80,U80*(1+'Rhaniad y Ddeiliadaeth (Cymru)'!C$109)+(U$44*(-(50-$T80)*('Rhaniad y Ddeiliadaeth (Cymru)'!C$110/40))))</f>
        <v>#VALUE!</v>
      </c>
      <c r="W80" s="4" t="e">
        <f>V80*(1+'Rhaniad y Ddeiliadaeth (Cymru)'!D$109)+(V$44*(-(50-$T80)*('Rhaniad y Ddeiliadaeth (Cymru)'!D$110/40)))</f>
        <v>#VALUE!</v>
      </c>
      <c r="X80" s="4" t="e">
        <f>W80*(1+'Rhaniad y Ddeiliadaeth (Cymru)'!E$109)+(W$44*(-(50-$T80)*('Rhaniad y Ddeiliadaeth (Cymru)'!E$110/40)))</f>
        <v>#VALUE!</v>
      </c>
      <c r="Y80" s="4" t="e">
        <f>X80*(1+'Rhaniad y Ddeiliadaeth (Cymru)'!F$109)+(X$44*(-(50-$T80)*('Rhaniad y Ddeiliadaeth (Cymru)'!F$110/40)))</f>
        <v>#VALUE!</v>
      </c>
      <c r="Z80" s="4" t="e">
        <f>Y80*(1+'Rhaniad y Ddeiliadaeth (Cymru)'!G$109)+(Y$44*(-(50-$T80)*('Rhaniad y Ddeiliadaeth (Cymru)'!G$110/40)))</f>
        <v>#VALUE!</v>
      </c>
      <c r="AB80">
        <v>86</v>
      </c>
      <c r="AC80" s="4">
        <f>IF('Rhaniad y Ddeiliadaeth (Cymru)'!$D$8="Amcangyfrifon LlC",'Incwm (Cymru)'!D80,'Incwm (Cymru)'!V80)</f>
        <v>60943.575050896856</v>
      </c>
      <c r="AD80" s="4">
        <f>IF('Rhaniad y Ddeiliadaeth (Cymru)'!$D$8="Amcangyfrifon LlC",'Incwm (Cymru)'!E80,'Incwm (Cymru)'!W80)</f>
        <v>62751.194348164412</v>
      </c>
      <c r="AE80" s="4">
        <f>IF('Rhaniad y Ddeiliadaeth (Cymru)'!$D$8="Amcangyfrifon LlC",'Incwm (Cymru)'!F80,'Incwm (Cymru)'!X80)</f>
        <v>65056.498042941297</v>
      </c>
      <c r="AF80" s="4">
        <f>IF('Rhaniad y Ddeiliadaeth (Cymru)'!$D$8="Amcangyfrifon LlC",'Incwm (Cymru)'!G80,'Incwm (Cymru)'!Y80)</f>
        <v>67724.147540528167</v>
      </c>
      <c r="AG80" s="4">
        <f>IF('Rhaniad y Ddeiliadaeth (Cymru)'!$D$8="Amcangyfrifon LlC",'Incwm (Cymru)'!H80,'Incwm (Cymru)'!Z80)</f>
        <v>70566.30887501371</v>
      </c>
    </row>
    <row r="81" spans="2:33" x14ac:dyDescent="0.25">
      <c r="B81" s="20">
        <v>87</v>
      </c>
      <c r="C81" s="56">
        <v>60212.46</v>
      </c>
      <c r="D81" s="57">
        <f>C81*(1+'Rhaniad y Ddeiliadaeth (Cymru)'!C$109)+(C$44*(-(50-$B81)*('Rhaniad y Ddeiliadaeth (Cymru)'!C$110/40)))</f>
        <v>62581.538596376908</v>
      </c>
      <c r="E81" s="57">
        <f>D81*(1+'Rhaniad y Ddeiliadaeth (Cymru)'!D$109)+(D$44*(-(50-$B81)*('Rhaniad y Ddeiliadaeth (Cymru)'!D$110/40)))</f>
        <v>64437.957648102987</v>
      </c>
      <c r="F81" s="57">
        <f>E81*(1+'Rhaniad y Ddeiliadaeth (Cymru)'!E$109)+(E$44*(-(50-$B81)*('Rhaniad y Ddeiliadaeth (Cymru)'!E$110/40)))</f>
        <v>66805.44991282867</v>
      </c>
      <c r="G81" s="57">
        <f>F81*(1+'Rhaniad y Ddeiliadaeth (Cymru)'!F$109)+(F$44*(-(50-$B81)*('Rhaniad y Ddeiliadaeth (Cymru)'!F$110/40)))</f>
        <v>69545.043387238213</v>
      </c>
      <c r="H81" s="58">
        <f>G81*(1+'Rhaniad y Ddeiliadaeth (Cymru)'!G$109)+(G$44*(-(50-$B81)*('Rhaniad y Ddeiliadaeth (Cymru)'!G$110/40)))</f>
        <v>72463.857335727982</v>
      </c>
      <c r="L81" s="62" t="str">
        <f t="shared" si="7"/>
        <v/>
      </c>
      <c r="M81" s="227"/>
      <c r="N81" s="14">
        <f t="shared" si="10"/>
        <v>1</v>
      </c>
      <c r="T81" s="1">
        <f t="shared" si="8"/>
        <v>87</v>
      </c>
      <c r="U81" s="4" t="str">
        <f t="shared" si="9"/>
        <v/>
      </c>
      <c r="V81" s="4" t="e">
        <f>IF($V$3=$M$3,M81,U81*(1+'Rhaniad y Ddeiliadaeth (Cymru)'!C$109)+(U$44*(-(50-$T81)*('Rhaniad y Ddeiliadaeth (Cymru)'!C$110/40))))</f>
        <v>#VALUE!</v>
      </c>
      <c r="W81" s="4" t="e">
        <f>V81*(1+'Rhaniad y Ddeiliadaeth (Cymru)'!D$109)+(V$44*(-(50-$T81)*('Rhaniad y Ddeiliadaeth (Cymru)'!D$110/40)))</f>
        <v>#VALUE!</v>
      </c>
      <c r="X81" s="4" t="e">
        <f>W81*(1+'Rhaniad y Ddeiliadaeth (Cymru)'!E$109)+(W$44*(-(50-$T81)*('Rhaniad y Ddeiliadaeth (Cymru)'!E$110/40)))</f>
        <v>#VALUE!</v>
      </c>
      <c r="Y81" s="4" t="e">
        <f>X81*(1+'Rhaniad y Ddeiliadaeth (Cymru)'!F$109)+(X$44*(-(50-$T81)*('Rhaniad y Ddeiliadaeth (Cymru)'!F$110/40)))</f>
        <v>#VALUE!</v>
      </c>
      <c r="Z81" s="4" t="e">
        <f>Y81*(1+'Rhaniad y Ddeiliadaeth (Cymru)'!G$109)+(Y$44*(-(50-$T81)*('Rhaniad y Ddeiliadaeth (Cymru)'!G$110/40)))</f>
        <v>#VALUE!</v>
      </c>
      <c r="AB81">
        <v>87</v>
      </c>
      <c r="AC81" s="4">
        <f>IF('Rhaniad y Ddeiliadaeth (Cymru)'!$D$8="Amcangyfrifon LlC",'Incwm (Cymru)'!D81,'Incwm (Cymru)'!V81)</f>
        <v>62581.538596376908</v>
      </c>
      <c r="AD81" s="4">
        <f>IF('Rhaniad y Ddeiliadaeth (Cymru)'!$D$8="Amcangyfrifon LlC",'Incwm (Cymru)'!E81,'Incwm (Cymru)'!W81)</f>
        <v>64437.957648102987</v>
      </c>
      <c r="AE81" s="4">
        <f>IF('Rhaniad y Ddeiliadaeth (Cymru)'!$D$8="Amcangyfrifon LlC",'Incwm (Cymru)'!F81,'Incwm (Cymru)'!X81)</f>
        <v>66805.44991282867</v>
      </c>
      <c r="AF81" s="4">
        <f>IF('Rhaniad y Ddeiliadaeth (Cymru)'!$D$8="Amcangyfrifon LlC",'Incwm (Cymru)'!G81,'Incwm (Cymru)'!Y81)</f>
        <v>69545.043387238213</v>
      </c>
      <c r="AG81" s="4">
        <f>IF('Rhaniad y Ddeiliadaeth (Cymru)'!$D$8="Amcangyfrifon LlC",'Incwm (Cymru)'!H81,'Incwm (Cymru)'!Z81)</f>
        <v>72463.857335727982</v>
      </c>
    </row>
    <row r="82" spans="2:33" x14ac:dyDescent="0.25">
      <c r="B82" s="20">
        <v>88</v>
      </c>
      <c r="C82" s="56">
        <v>62025.25</v>
      </c>
      <c r="D82" s="57">
        <f>C82*(1+'Rhaniad y Ddeiliadaeth (Cymru)'!C$109)+(C$44*(-(50-$B82)*('Rhaniad y Ddeiliadaeth (Cymru)'!C$110/40)))</f>
        <v>64464.917638127496</v>
      </c>
      <c r="E82" s="57">
        <f>D82*(1+'Rhaniad y Ddeiliadaeth (Cymru)'!D$109)+(D$44*(-(50-$B82)*('Rhaniad y Ddeiliadaeth (Cymru)'!D$110/40)))</f>
        <v>66376.446369865633</v>
      </c>
      <c r="F82" s="57">
        <f>E82*(1+'Rhaniad y Ddeiliadaeth (Cymru)'!E$109)+(E$44*(-(50-$B82)*('Rhaniad y Ddeiliadaeth (Cymru)'!E$110/40)))</f>
        <v>68814.384556459758</v>
      </c>
      <c r="G82" s="57">
        <f>F82*(1+'Rhaniad y Ddeiliadaeth (Cymru)'!F$109)+(F$44*(-(50-$B82)*('Rhaniad y Ddeiliadaeth (Cymru)'!F$110/40)))</f>
        <v>71635.563690507508</v>
      </c>
      <c r="H82" s="58">
        <f>G82*(1+'Rhaniad y Ddeiliadaeth (Cymru)'!G$109)+(G$44*(-(50-$B82)*('Rhaniad y Ddeiliadaeth (Cymru)'!G$110/40)))</f>
        <v>74641.292759210948</v>
      </c>
      <c r="L82" s="62" t="str">
        <f t="shared" si="7"/>
        <v/>
      </c>
      <c r="M82" s="227"/>
      <c r="N82" s="14">
        <f t="shared" si="10"/>
        <v>1</v>
      </c>
      <c r="T82" s="1">
        <f t="shared" si="8"/>
        <v>88</v>
      </c>
      <c r="U82" s="4" t="str">
        <f t="shared" si="9"/>
        <v/>
      </c>
      <c r="V82" s="4" t="e">
        <f>IF($V$3=$M$3,M82,U82*(1+'Rhaniad y Ddeiliadaeth (Cymru)'!C$109)+(U$44*(-(50-$T82)*('Rhaniad y Ddeiliadaeth (Cymru)'!C$110/40))))</f>
        <v>#VALUE!</v>
      </c>
      <c r="W82" s="4" t="e">
        <f>V82*(1+'Rhaniad y Ddeiliadaeth (Cymru)'!D$109)+(V$44*(-(50-$T82)*('Rhaniad y Ddeiliadaeth (Cymru)'!D$110/40)))</f>
        <v>#VALUE!</v>
      </c>
      <c r="X82" s="4" t="e">
        <f>W82*(1+'Rhaniad y Ddeiliadaeth (Cymru)'!E$109)+(W$44*(-(50-$T82)*('Rhaniad y Ddeiliadaeth (Cymru)'!E$110/40)))</f>
        <v>#VALUE!</v>
      </c>
      <c r="Y82" s="4" t="e">
        <f>X82*(1+'Rhaniad y Ddeiliadaeth (Cymru)'!F$109)+(X$44*(-(50-$T82)*('Rhaniad y Ddeiliadaeth (Cymru)'!F$110/40)))</f>
        <v>#VALUE!</v>
      </c>
      <c r="Z82" s="4" t="e">
        <f>Y82*(1+'Rhaniad y Ddeiliadaeth (Cymru)'!G$109)+(Y$44*(-(50-$T82)*('Rhaniad y Ddeiliadaeth (Cymru)'!G$110/40)))</f>
        <v>#VALUE!</v>
      </c>
      <c r="AB82">
        <v>88</v>
      </c>
      <c r="AC82" s="4">
        <f>IF('Rhaniad y Ddeiliadaeth (Cymru)'!$D$8="Amcangyfrifon LlC",'Incwm (Cymru)'!D82,'Incwm (Cymru)'!V82)</f>
        <v>64464.917638127496</v>
      </c>
      <c r="AD82" s="4">
        <f>IF('Rhaniad y Ddeiliadaeth (Cymru)'!$D$8="Amcangyfrifon LlC",'Incwm (Cymru)'!E82,'Incwm (Cymru)'!W82)</f>
        <v>66376.446369865633</v>
      </c>
      <c r="AE82" s="4">
        <f>IF('Rhaniad y Ddeiliadaeth (Cymru)'!$D$8="Amcangyfrifon LlC",'Incwm (Cymru)'!F82,'Incwm (Cymru)'!X82)</f>
        <v>68814.384556459758</v>
      </c>
      <c r="AF82" s="4">
        <f>IF('Rhaniad y Ddeiliadaeth (Cymru)'!$D$8="Amcangyfrifon LlC",'Incwm (Cymru)'!G82,'Incwm (Cymru)'!Y82)</f>
        <v>71635.563690507508</v>
      </c>
      <c r="AG82" s="4">
        <f>IF('Rhaniad y Ddeiliadaeth (Cymru)'!$D$8="Amcangyfrifon LlC",'Incwm (Cymru)'!H82,'Incwm (Cymru)'!Z82)</f>
        <v>74641.292759210948</v>
      </c>
    </row>
    <row r="83" spans="2:33" x14ac:dyDescent="0.25">
      <c r="B83" s="20">
        <v>89</v>
      </c>
      <c r="C83" s="56">
        <v>64617.177300000003</v>
      </c>
      <c r="D83" s="57">
        <f>C83*(1+'Rhaniad y Ddeiliadaeth (Cymru)'!C$109)+(C$44*(-(50-$B83)*('Rhaniad y Ddeiliadaeth (Cymru)'!C$110/40)))</f>
        <v>67154.997802699596</v>
      </c>
      <c r="E83" s="57">
        <f>D83*(1+'Rhaniad y Ddeiliadaeth (Cymru)'!D$109)+(D$44*(-(50-$B83)*('Rhaniad y Ddeiliadaeth (Cymru)'!D$110/40)))</f>
        <v>69142.377463907585</v>
      </c>
      <c r="F83" s="57">
        <f>E83*(1+'Rhaniad y Ddeiliadaeth (Cymru)'!E$109)+(E$44*(-(50-$B83)*('Rhaniad y Ddeiliadaeth (Cymru)'!E$110/40)))</f>
        <v>71677.904174065421</v>
      </c>
      <c r="G83" s="57">
        <f>F83*(1+'Rhaniad y Ddeiliadaeth (Cymru)'!F$109)+(F$44*(-(50-$B83)*('Rhaniad y Ddeiliadaeth (Cymru)'!F$110/40)))</f>
        <v>74612.361980097252</v>
      </c>
      <c r="H83" s="58">
        <f>G83*(1+'Rhaniad y Ddeiliadaeth (Cymru)'!G$109)+(G$44*(-(50-$B83)*('Rhaniad y Ddeiliadaeth (Cymru)'!G$110/40)))</f>
        <v>77738.739879427711</v>
      </c>
      <c r="L83" s="62" t="str">
        <f t="shared" si="7"/>
        <v/>
      </c>
      <c r="M83" s="227"/>
      <c r="N83" s="14">
        <f t="shared" si="10"/>
        <v>1</v>
      </c>
      <c r="T83" s="1">
        <f t="shared" si="8"/>
        <v>89</v>
      </c>
      <c r="U83" s="4" t="str">
        <f t="shared" si="9"/>
        <v/>
      </c>
      <c r="V83" s="4" t="e">
        <f>IF($V$3=$M$3,M83,U83*(1+'Rhaniad y Ddeiliadaeth (Cymru)'!C$109)+(U$44*(-(50-$T83)*('Rhaniad y Ddeiliadaeth (Cymru)'!C$110/40))))</f>
        <v>#VALUE!</v>
      </c>
      <c r="W83" s="4" t="e">
        <f>V83*(1+'Rhaniad y Ddeiliadaeth (Cymru)'!D$109)+(V$44*(-(50-$T83)*('Rhaniad y Ddeiliadaeth (Cymru)'!D$110/40)))</f>
        <v>#VALUE!</v>
      </c>
      <c r="X83" s="4" t="e">
        <f>W83*(1+'Rhaniad y Ddeiliadaeth (Cymru)'!E$109)+(W$44*(-(50-$T83)*('Rhaniad y Ddeiliadaeth (Cymru)'!E$110/40)))</f>
        <v>#VALUE!</v>
      </c>
      <c r="Y83" s="4" t="e">
        <f>X83*(1+'Rhaniad y Ddeiliadaeth (Cymru)'!F$109)+(X$44*(-(50-$T83)*('Rhaniad y Ddeiliadaeth (Cymru)'!F$110/40)))</f>
        <v>#VALUE!</v>
      </c>
      <c r="Z83" s="4" t="e">
        <f>Y83*(1+'Rhaniad y Ddeiliadaeth (Cymru)'!G$109)+(Y$44*(-(50-$T83)*('Rhaniad y Ddeiliadaeth (Cymru)'!G$110/40)))</f>
        <v>#VALUE!</v>
      </c>
      <c r="AB83">
        <v>89</v>
      </c>
      <c r="AC83" s="4">
        <f>IF('Rhaniad y Ddeiliadaeth (Cymru)'!$D$8="Amcangyfrifon LlC",'Incwm (Cymru)'!D83,'Incwm (Cymru)'!V83)</f>
        <v>67154.997802699596</v>
      </c>
      <c r="AD83" s="4">
        <f>IF('Rhaniad y Ddeiliadaeth (Cymru)'!$D$8="Amcangyfrifon LlC",'Incwm (Cymru)'!E83,'Incwm (Cymru)'!W83)</f>
        <v>69142.377463907585</v>
      </c>
      <c r="AE83" s="4">
        <f>IF('Rhaniad y Ddeiliadaeth (Cymru)'!$D$8="Amcangyfrifon LlC",'Incwm (Cymru)'!F83,'Incwm (Cymru)'!X83)</f>
        <v>71677.904174065421</v>
      </c>
      <c r="AF83" s="4">
        <f>IF('Rhaniad y Ddeiliadaeth (Cymru)'!$D$8="Amcangyfrifon LlC",'Incwm (Cymru)'!G83,'Incwm (Cymru)'!Y83)</f>
        <v>74612.361980097252</v>
      </c>
      <c r="AG83" s="4">
        <f>IF('Rhaniad y Ddeiliadaeth (Cymru)'!$D$8="Amcangyfrifon LlC",'Incwm (Cymru)'!H83,'Incwm (Cymru)'!Z83)</f>
        <v>77738.739879427711</v>
      </c>
    </row>
    <row r="84" spans="2:33" x14ac:dyDescent="0.25">
      <c r="B84" s="23">
        <v>90</v>
      </c>
      <c r="C84" s="59">
        <v>66980.100000000006</v>
      </c>
      <c r="D84" s="60">
        <f>C84*(1+'Rhaniad y Ddeiliadaeth (Cymru)'!C$109)+(C$44*(-(50-$B84)*('Rhaniad y Ddeiliadaeth (Cymru)'!C$110/40)))</f>
        <v>69607.971788487441</v>
      </c>
      <c r="E84" s="60">
        <f>D84*(1+'Rhaniad y Ddeiliadaeth (Cymru)'!D$109)+(D$44*(-(50-$B84)*('Rhaniad y Ddeiliadaeth (Cymru)'!D$110/40)))</f>
        <v>71665.106096089643</v>
      </c>
      <c r="F84" s="60">
        <f>E84*(1+'Rhaniad y Ddeiliadaeth (Cymru)'!E$109)+(E$44*(-(50-$B84)*('Rhaniad y Ddeiliadaeth (Cymru)'!E$110/40)))</f>
        <v>74290.24355664567</v>
      </c>
      <c r="G84" s="60">
        <f>F84*(1+'Rhaniad y Ddeiliadaeth (Cymru)'!F$109)+(F$44*(-(50-$B84)*('Rhaniad y Ddeiliadaeth (Cymru)'!F$110/40)))</f>
        <v>77328.664801499137</v>
      </c>
      <c r="H84" s="61">
        <f>G84*(1+'Rhaniad y Ddeiliadaeth (Cymru)'!G$109)+(G$44*(-(50-$B84)*('Rhaniad y Ddeiliadaeth (Cymru)'!G$110/40)))</f>
        <v>80565.776494838909</v>
      </c>
      <c r="L84" s="63" t="str">
        <f t="shared" si="7"/>
        <v/>
      </c>
      <c r="M84" s="229"/>
      <c r="N84" s="14">
        <f t="shared" si="10"/>
        <v>1</v>
      </c>
      <c r="T84" s="1">
        <f t="shared" si="8"/>
        <v>90</v>
      </c>
      <c r="U84" s="4" t="str">
        <f t="shared" si="9"/>
        <v/>
      </c>
      <c r="V84" s="4" t="e">
        <f>IF($V$3=$M$3,M84,U84*(1+'Rhaniad y Ddeiliadaeth (Cymru)'!C$109)+(U$44*(-(50-$T84)*('Rhaniad y Ddeiliadaeth (Cymru)'!C$110/40))))</f>
        <v>#VALUE!</v>
      </c>
      <c r="W84" s="4" t="e">
        <f>V84*(1+'Rhaniad y Ddeiliadaeth (Cymru)'!D$109)+(V$44*(-(50-$T84)*('Rhaniad y Ddeiliadaeth (Cymru)'!D$110/40)))</f>
        <v>#VALUE!</v>
      </c>
      <c r="X84" s="4" t="e">
        <f>W84*(1+'Rhaniad y Ddeiliadaeth (Cymru)'!E$109)+(W$44*(-(50-$T84)*('Rhaniad y Ddeiliadaeth (Cymru)'!E$110/40)))</f>
        <v>#VALUE!</v>
      </c>
      <c r="Y84" s="4" t="e">
        <f>X84*(1+'Rhaniad y Ddeiliadaeth (Cymru)'!F$109)+(X$44*(-(50-$T84)*('Rhaniad y Ddeiliadaeth (Cymru)'!F$110/40)))</f>
        <v>#VALUE!</v>
      </c>
      <c r="Z84" s="4" t="e">
        <f>Y84*(1+'Rhaniad y Ddeiliadaeth (Cymru)'!G$109)+(Y$44*(-(50-$T84)*('Rhaniad y Ddeiliadaeth (Cymru)'!G$110/40)))</f>
        <v>#VALUE!</v>
      </c>
      <c r="AB84">
        <v>90</v>
      </c>
      <c r="AC84" s="4">
        <f>IF('Rhaniad y Ddeiliadaeth (Cymru)'!$D$8="Amcangyfrifon LlC",'Incwm (Cymru)'!D84,'Incwm (Cymru)'!V84)</f>
        <v>69607.971788487441</v>
      </c>
      <c r="AD84" s="4">
        <f>IF('Rhaniad y Ddeiliadaeth (Cymru)'!$D$8="Amcangyfrifon LlC",'Incwm (Cymru)'!E84,'Incwm (Cymru)'!W84)</f>
        <v>71665.106096089643</v>
      </c>
      <c r="AE84" s="4">
        <f>IF('Rhaniad y Ddeiliadaeth (Cymru)'!$D$8="Amcangyfrifon LlC",'Incwm (Cymru)'!F84,'Incwm (Cymru)'!X84)</f>
        <v>74290.24355664567</v>
      </c>
      <c r="AF84" s="4">
        <f>IF('Rhaniad y Ddeiliadaeth (Cymru)'!$D$8="Amcangyfrifon LlC",'Incwm (Cymru)'!G84,'Incwm (Cymru)'!Y84)</f>
        <v>77328.664801499137</v>
      </c>
      <c r="AG84" s="4">
        <f>IF('Rhaniad y Ddeiliadaeth (Cymru)'!$D$8="Amcangyfrifon LlC",'Incwm (Cymru)'!H84,'Incwm (Cymru)'!Z84)</f>
        <v>80565.776494838909</v>
      </c>
    </row>
    <row r="85" spans="2:33" x14ac:dyDescent="0.25">
      <c r="N85" s="14">
        <f>IF(SUM(N4:N84)&gt;0,1,0)</f>
        <v>1</v>
      </c>
      <c r="T85" s="1"/>
    </row>
  </sheetData>
  <sheetProtection sheet="1" objects="1" scenarios="1"/>
  <mergeCells count="3">
    <mergeCell ref="B2:H2"/>
    <mergeCell ref="J2:M2"/>
    <mergeCell ref="J9:J10"/>
  </mergeCells>
  <dataValidations count="2">
    <dataValidation type="list" allowBlank="1" showInputMessage="1" showErrorMessage="1" sqref="K4">
      <formula1>"2017,2018"</formula1>
    </dataValidation>
    <dataValidation type="decimal" operator="greaterThan" allowBlank="1" showInputMessage="1" showErrorMessage="1" sqref="M4:M84">
      <formula1>0</formula1>
    </dataValidation>
  </dataValidations>
  <pageMargins left="0.7" right="0.7" top="0.75" bottom="0.75" header="0.3" footer="0.3"/>
  <pageSetup paperSize="9" scale="42" orientation="portrait" horizontalDpi="300" verticalDpi="300"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AG85"/>
  <sheetViews>
    <sheetView showGridLines="0" workbookViewId="0"/>
  </sheetViews>
  <sheetFormatPr defaultColWidth="9.140625" defaultRowHeight="15" x14ac:dyDescent="0.25"/>
  <cols>
    <col min="1" max="1" width="2.140625" style="1" customWidth="1"/>
    <col min="2" max="2" width="10.140625" style="1" bestFit="1" customWidth="1"/>
    <col min="3" max="3" width="9.140625" style="1"/>
    <col min="4" max="8" width="10.140625" style="1" bestFit="1" customWidth="1"/>
    <col min="9" max="9" width="9.140625" style="1"/>
    <col min="10" max="10" width="66.7109375" style="1" customWidth="1"/>
    <col min="11" max="11" width="9.140625" style="1"/>
    <col min="12" max="12" width="10.140625" style="1" customWidth="1"/>
    <col min="13" max="13" width="9.140625" style="1" customWidth="1"/>
    <col min="14" max="14" width="9.140625" style="1" hidden="1" customWidth="1"/>
    <col min="15" max="18" width="9.140625" style="1"/>
    <col min="19" max="19" width="0" style="1" hidden="1" customWidth="1"/>
    <col min="20" max="20" width="9.140625" style="1" hidden="1" customWidth="1"/>
    <col min="21" max="26" width="10.140625" style="1" hidden="1" customWidth="1"/>
    <col min="27" max="27" width="9.140625" style="1" hidden="1" customWidth="1"/>
    <col min="28" max="28" width="9.140625" style="1" customWidth="1"/>
    <col min="29" max="29" width="10.140625" style="1" customWidth="1"/>
    <col min="30" max="33" width="9.140625" style="1" customWidth="1"/>
    <col min="34" max="16384" width="9.140625" style="1"/>
  </cols>
  <sheetData>
    <row r="1" spans="2:33" ht="9.75" customHeight="1" x14ac:dyDescent="0.25"/>
    <row r="2" spans="2:33" ht="26.25" customHeight="1" x14ac:dyDescent="0.25">
      <c r="B2" s="414" t="s">
        <v>317</v>
      </c>
      <c r="C2" s="415"/>
      <c r="D2" s="415"/>
      <c r="E2" s="415"/>
      <c r="F2" s="415"/>
      <c r="G2" s="415"/>
      <c r="H2" s="416"/>
      <c r="J2" s="417" t="s">
        <v>145</v>
      </c>
      <c r="K2" s="418"/>
      <c r="L2" s="418"/>
      <c r="M2" s="419"/>
      <c r="N2" s="65"/>
      <c r="U2" s="1" t="s">
        <v>293</v>
      </c>
      <c r="AB2" s="1" t="s">
        <v>294</v>
      </c>
    </row>
    <row r="3" spans="2:33" x14ac:dyDescent="0.25">
      <c r="B3" s="34" t="s">
        <v>144</v>
      </c>
      <c r="C3" s="35">
        <v>2017</v>
      </c>
      <c r="D3" s="35">
        <v>2018</v>
      </c>
      <c r="E3" s="35">
        <v>2019</v>
      </c>
      <c r="F3" s="35">
        <v>2020</v>
      </c>
      <c r="G3" s="35">
        <v>2021</v>
      </c>
      <c r="H3" s="55">
        <v>2022</v>
      </c>
      <c r="L3" s="34" t="s">
        <v>144</v>
      </c>
      <c r="M3" s="64">
        <f>K4</f>
        <v>0</v>
      </c>
      <c r="N3" s="66" t="s">
        <v>298</v>
      </c>
      <c r="U3" s="1">
        <v>2017</v>
      </c>
      <c r="V3" s="1">
        <v>2018</v>
      </c>
      <c r="W3" s="1">
        <v>2019</v>
      </c>
      <c r="X3" s="1">
        <v>2020</v>
      </c>
      <c r="Y3" s="1">
        <v>2021</v>
      </c>
      <c r="Z3" s="1">
        <v>2022</v>
      </c>
      <c r="AC3" s="1">
        <v>2018</v>
      </c>
      <c r="AD3" s="1">
        <v>2019</v>
      </c>
      <c r="AE3" s="1">
        <v>2020</v>
      </c>
      <c r="AF3" s="1">
        <v>2021</v>
      </c>
      <c r="AG3" s="1">
        <v>2022</v>
      </c>
    </row>
    <row r="4" spans="2:33" x14ac:dyDescent="0.25">
      <c r="B4" s="20">
        <v>10</v>
      </c>
      <c r="C4" s="56">
        <v>11519</v>
      </c>
      <c r="D4" s="57">
        <f>C4*(1+'Rhaniad y Ddeiliadaeth (Gog)'!C$109)+(C$44*(-(50-$B4)*('Rhaniad y Ddeiliadaeth (Gog)'!C$110/40)))</f>
        <v>11671.861840443458</v>
      </c>
      <c r="E4" s="57">
        <f>D4*(1+'Rhaniad y Ddeiliadaeth (Gog)'!D$109)+(D$44*(-(50-$B4)*('Rhaniad y Ddeiliadaeth (Gog)'!D$110/40)))</f>
        <v>11708.300504790728</v>
      </c>
      <c r="F4" s="57">
        <f>E4*(1+'Rhaniad y Ddeiliadaeth (Gog)'!E$109)+(E$44*(-(50-$B4)*('Rhaniad y Ddeiliadaeth (Gog)'!E$110/40)))</f>
        <v>11821.930192234566</v>
      </c>
      <c r="G4" s="57">
        <f>F4*(1+'Rhaniad y Ddeiliadaeth (Gog)'!F$109)+(F$44*(-(50-$B4)*('Rhaniad y Ddeiliadaeth (Gog)'!F$110/40)))</f>
        <v>11981.047547845112</v>
      </c>
      <c r="H4" s="58">
        <f>G4*(1+'Rhaniad y Ddeiliadaeth (Gog)'!G$109)+(G$44*(-(50-$B4)*('Rhaniad y Ddeiliadaeth (Gog)'!G$110/40)))</f>
        <v>12147.405435121387</v>
      </c>
      <c r="I4" s="4"/>
      <c r="J4" s="67" t="str">
        <f>IF('Rhaniad y Ddeiliadaeth (Cymru)'!D8="Arall","Dewiswch data pa flwyddyn hoffech ei ychwanegu:","")</f>
        <v/>
      </c>
      <c r="K4" s="238"/>
      <c r="L4" s="62" t="str">
        <f t="shared" ref="L4:L67" si="0">IF(ISBLANK($K$4),"",B4)</f>
        <v/>
      </c>
      <c r="M4" s="227"/>
      <c r="N4" s="36">
        <f>IF(ISBLANK(M4),1,0)</f>
        <v>1</v>
      </c>
      <c r="O4" s="11" t="str">
        <f>IF(J4="","","&lt;&lt; Ychwanegwch ddata pob canradd fan hyn.")</f>
        <v/>
      </c>
      <c r="T4" s="1">
        <f t="shared" ref="T4:T67" si="1">B4</f>
        <v>10</v>
      </c>
      <c r="U4" s="4" t="str">
        <f t="shared" ref="U4:U67" si="2">IF($M$3=$U$3,M4,"")</f>
        <v/>
      </c>
      <c r="V4" s="4" t="e">
        <f>IF($V$3=$M$3,M4,U4*(1+'Rhaniad y Ddeiliadaeth (Gog)'!C$109)+(U$44*(-(50-$T4)*('Rhaniad y Ddeiliadaeth (Gog)'!C$110/40))))</f>
        <v>#VALUE!</v>
      </c>
      <c r="W4" s="4" t="e">
        <f>V4*(1+'Rhaniad y Ddeiliadaeth (Gog)'!D$109)+(V$44*(-(50-$T4)*('Rhaniad y Ddeiliadaeth (Gog)'!D$110/40)))</f>
        <v>#VALUE!</v>
      </c>
      <c r="X4" s="4" t="e">
        <f>W4*(1+'Rhaniad y Ddeiliadaeth (Gog)'!E$109)+(W$44*(-(50-$T4)*('Rhaniad y Ddeiliadaeth (Gog)'!E$110/40)))</f>
        <v>#VALUE!</v>
      </c>
      <c r="Y4" s="4" t="e">
        <f>X4*(1+'Rhaniad y Ddeiliadaeth (Gog)'!F$109)+(X$44*(-(50-$T4)*('Rhaniad y Ddeiliadaeth (Gog)'!F$110/40)))</f>
        <v>#VALUE!</v>
      </c>
      <c r="Z4" s="4" t="e">
        <f>Y4*(1+'Rhaniad y Ddeiliadaeth (Gog)'!G$109)+(Y$44*(-(50-$T4)*('Rhaniad y Ddeiliadaeth (Gog)'!G$110/40)))</f>
        <v>#VALUE!</v>
      </c>
      <c r="AB4" s="1">
        <v>10</v>
      </c>
      <c r="AC4" s="4">
        <f>IF('Rhaniad y Ddeiliadaeth (Cymru)'!$D$8="Amcangyfrifon LlC",'Incwm (Gogledd)'!D4,'Incwm (Gogledd)'!V4)</f>
        <v>11671.861840443458</v>
      </c>
      <c r="AD4" s="4">
        <f>IF('Rhaniad y Ddeiliadaeth (Cymru)'!$D$8="Amcangyfrifon LlC",'Incwm (Gogledd)'!E4,'Incwm (Gogledd)'!W4)</f>
        <v>11708.300504790728</v>
      </c>
      <c r="AE4" s="4">
        <f>IF('Rhaniad y Ddeiliadaeth (Cymru)'!$D$8="Amcangyfrifon LlC",'Incwm (Gogledd)'!F4,'Incwm (Gogledd)'!X4)</f>
        <v>11821.930192234566</v>
      </c>
      <c r="AF4" s="4">
        <f>IF('Rhaniad y Ddeiliadaeth (Cymru)'!$D$8="Amcangyfrifon LlC",'Incwm (Gogledd)'!G4,'Incwm (Gogledd)'!Y4)</f>
        <v>11981.047547845112</v>
      </c>
      <c r="AG4" s="4">
        <f>IF('Rhaniad y Ddeiliadaeth (Cymru)'!$D$8="Amcangyfrifon LlC",'Incwm (Gogledd)'!H4,'Incwm (Gogledd)'!Z4)</f>
        <v>12147.405435121387</v>
      </c>
    </row>
    <row r="5" spans="2:33" x14ac:dyDescent="0.25">
      <c r="B5" s="20">
        <v>11</v>
      </c>
      <c r="C5" s="56">
        <v>12038</v>
      </c>
      <c r="D5" s="57">
        <f>C5*(1+'Rhaniad y Ddeiliadaeth (Gog)'!C$109)+(C$44*(-(50-$B5)*('Rhaniad y Ddeiliadaeth (Gog)'!C$110/40)))</f>
        <v>12215.588941662327</v>
      </c>
      <c r="E5" s="57">
        <f>D5*(1+'Rhaniad y Ddeiliadaeth (Gog)'!D$109)+(D$44*(-(50-$B5)*('Rhaniad y Ddeiliadaeth (Gog)'!D$110/40)))</f>
        <v>12272.598950389234</v>
      </c>
      <c r="F5" s="57">
        <f>E5*(1+'Rhaniad y Ddeiliadaeth (Gog)'!E$109)+(E$44*(-(50-$B5)*('Rhaniad y Ddeiliadaeth (Gog)'!E$110/40)))</f>
        <v>12411.500271993262</v>
      </c>
      <c r="G5" s="57">
        <f>F5*(1+'Rhaniad y Ddeiliadaeth (Gog)'!F$109)+(F$44*(-(50-$B5)*('Rhaniad y Ddeiliadaeth (Gog)'!F$110/40)))</f>
        <v>12599.465061768477</v>
      </c>
      <c r="H5" s="58">
        <f>G5*(1+'Rhaniad y Ddeiliadaeth (Gog)'!G$109)+(G$44*(-(50-$B5)*('Rhaniad y Ddeiliadaeth (Gog)'!G$110/40)))</f>
        <v>12796.602979833482</v>
      </c>
      <c r="J5" s="68" t="str">
        <f>IF(J4="","","Dim ond data ar gyfer un flwyddyn sydd angen i chi ychwanegu (unai 2017 neu 2018)")</f>
        <v/>
      </c>
      <c r="L5" s="62" t="str">
        <f t="shared" si="0"/>
        <v/>
      </c>
      <c r="M5" s="227"/>
      <c r="N5" s="36">
        <f t="shared" ref="N5:N68" si="3">IF(ISBLANK(M5),1,0)</f>
        <v>1</v>
      </c>
      <c r="T5" s="1">
        <f t="shared" si="1"/>
        <v>11</v>
      </c>
      <c r="U5" s="4" t="str">
        <f t="shared" si="2"/>
        <v/>
      </c>
      <c r="V5" s="4" t="e">
        <f>IF($V$3=$M$3,M5,U5*(1+'Rhaniad y Ddeiliadaeth (Gog)'!C$109)+(U$44*(-(50-$T5)*('Rhaniad y Ddeiliadaeth (Gog)'!C$110/40))))</f>
        <v>#VALUE!</v>
      </c>
      <c r="W5" s="4" t="e">
        <f>V5*(1+'Rhaniad y Ddeiliadaeth (Gog)'!D$109)+(V$44*(-(50-$T5)*('Rhaniad y Ddeiliadaeth (Gog)'!D$110/40)))</f>
        <v>#VALUE!</v>
      </c>
      <c r="X5" s="4" t="e">
        <f>W5*(1+'Rhaniad y Ddeiliadaeth (Gog)'!E$109)+(W$44*(-(50-$T5)*('Rhaniad y Ddeiliadaeth (Gog)'!E$110/40)))</f>
        <v>#VALUE!</v>
      </c>
      <c r="Y5" s="4" t="e">
        <f>X5*(1+'Rhaniad y Ddeiliadaeth (Gog)'!F$109)+(X$44*(-(50-$T5)*('Rhaniad y Ddeiliadaeth (Gog)'!F$110/40)))</f>
        <v>#VALUE!</v>
      </c>
      <c r="Z5" s="4" t="e">
        <f>Y5*(1+'Rhaniad y Ddeiliadaeth (Gog)'!G$109)+(Y$44*(-(50-$T5)*('Rhaniad y Ddeiliadaeth (Gog)'!G$110/40)))</f>
        <v>#VALUE!</v>
      </c>
      <c r="AB5" s="1">
        <v>11</v>
      </c>
      <c r="AC5" s="4">
        <f>IF('Rhaniad y Ddeiliadaeth (Cymru)'!$D$8="Amcangyfrifon LlC",'Incwm (Gogledd)'!D5,'Incwm (Gogledd)'!V5)</f>
        <v>12215.588941662327</v>
      </c>
      <c r="AD5" s="4">
        <f>IF('Rhaniad y Ddeiliadaeth (Cymru)'!$D$8="Amcangyfrifon LlC",'Incwm (Gogledd)'!E5,'Incwm (Gogledd)'!W5)</f>
        <v>12272.598950389234</v>
      </c>
      <c r="AE5" s="4">
        <f>IF('Rhaniad y Ddeiliadaeth (Cymru)'!$D$8="Amcangyfrifon LlC",'Incwm (Gogledd)'!F5,'Incwm (Gogledd)'!X5)</f>
        <v>12411.500271993262</v>
      </c>
      <c r="AF5" s="4">
        <f>IF('Rhaniad y Ddeiliadaeth (Cymru)'!$D$8="Amcangyfrifon LlC",'Incwm (Gogledd)'!G5,'Incwm (Gogledd)'!Y5)</f>
        <v>12599.465061768477</v>
      </c>
      <c r="AG5" s="4">
        <f>IF('Rhaniad y Ddeiliadaeth (Cymru)'!$D$8="Amcangyfrifon LlC",'Incwm (Gogledd)'!H5,'Incwm (Gogledd)'!Z5)</f>
        <v>12796.602979833482</v>
      </c>
    </row>
    <row r="6" spans="2:33" x14ac:dyDescent="0.25">
      <c r="B6" s="20">
        <v>12</v>
      </c>
      <c r="C6" s="56">
        <v>12522.25</v>
      </c>
      <c r="D6" s="57">
        <f>C6*(1+'Rhaniad y Ddeiliadaeth (Gog)'!C$109)+(C$44*(-(50-$B6)*('Rhaniad y Ddeiliadaeth (Gog)'!C$110/40)))</f>
        <v>12723.336679528875</v>
      </c>
      <c r="E6" s="57">
        <f>D6*(1+'Rhaniad y Ddeiliadaeth (Gog)'!D$109)+(D$44*(-(50-$B6)*('Rhaniad y Ddeiliadaeth (Gog)'!D$110/40)))</f>
        <v>12799.992960226928</v>
      </c>
      <c r="F6" s="57">
        <f>E6*(1+'Rhaniad y Ddeiliadaeth (Gog)'!E$109)+(E$44*(-(50-$B6)*('Rhaniad y Ddeiliadaeth (Gog)'!E$110/40)))</f>
        <v>12962.955339358614</v>
      </c>
      <c r="G6" s="57">
        <f>F6*(1+'Rhaniad y Ddeiliadaeth (Gog)'!F$109)+(F$44*(-(50-$B6)*('Rhaniad y Ddeiliadaeth (Gog)'!F$110/40)))</f>
        <v>13178.354035568504</v>
      </c>
      <c r="H6" s="58">
        <f>G6*(1+'Rhaniad y Ddeiliadaeth (Gog)'!G$109)+(G$44*(-(50-$B6)*('Rhaniad y Ddeiliadaeth (Gog)'!G$110/40)))</f>
        <v>13404.767440310612</v>
      </c>
      <c r="L6" s="62" t="str">
        <f t="shared" si="0"/>
        <v/>
      </c>
      <c r="M6" s="227"/>
      <c r="N6" s="36">
        <f t="shared" si="3"/>
        <v>1</v>
      </c>
      <c r="T6" s="1">
        <f t="shared" si="1"/>
        <v>12</v>
      </c>
      <c r="U6" s="4" t="str">
        <f t="shared" si="2"/>
        <v/>
      </c>
      <c r="V6" s="4" t="e">
        <f>IF($V$3=$M$3,M6,U6*(1+'Rhaniad y Ddeiliadaeth (Gog)'!C$109)+(U$44*(-(50-$T6)*('Rhaniad y Ddeiliadaeth (Gog)'!C$110/40))))</f>
        <v>#VALUE!</v>
      </c>
      <c r="W6" s="4" t="e">
        <f>V6*(1+'Rhaniad y Ddeiliadaeth (Gog)'!D$109)+(V$44*(-(50-$T6)*('Rhaniad y Ddeiliadaeth (Gog)'!D$110/40)))</f>
        <v>#VALUE!</v>
      </c>
      <c r="X6" s="4" t="e">
        <f>W6*(1+'Rhaniad y Ddeiliadaeth (Gog)'!E$109)+(W$44*(-(50-$T6)*('Rhaniad y Ddeiliadaeth (Gog)'!E$110/40)))</f>
        <v>#VALUE!</v>
      </c>
      <c r="Y6" s="4" t="e">
        <f>X6*(1+'Rhaniad y Ddeiliadaeth (Gog)'!F$109)+(X$44*(-(50-$T6)*('Rhaniad y Ddeiliadaeth (Gog)'!F$110/40)))</f>
        <v>#VALUE!</v>
      </c>
      <c r="Z6" s="4" t="e">
        <f>Y6*(1+'Rhaniad y Ddeiliadaeth (Gog)'!G$109)+(Y$44*(-(50-$T6)*('Rhaniad y Ddeiliadaeth (Gog)'!G$110/40)))</f>
        <v>#VALUE!</v>
      </c>
      <c r="AB6" s="1">
        <v>12</v>
      </c>
      <c r="AC6" s="4">
        <f>IF('Rhaniad y Ddeiliadaeth (Cymru)'!$D$8="Amcangyfrifon LlC",'Incwm (Gogledd)'!D6,'Incwm (Gogledd)'!V6)</f>
        <v>12723.336679528875</v>
      </c>
      <c r="AD6" s="4">
        <f>IF('Rhaniad y Ddeiliadaeth (Cymru)'!$D$8="Amcangyfrifon LlC",'Incwm (Gogledd)'!E6,'Incwm (Gogledd)'!W6)</f>
        <v>12799.992960226928</v>
      </c>
      <c r="AE6" s="4">
        <f>IF('Rhaniad y Ddeiliadaeth (Cymru)'!$D$8="Amcangyfrifon LlC",'Incwm (Gogledd)'!F6,'Incwm (Gogledd)'!X6)</f>
        <v>12962.955339358614</v>
      </c>
      <c r="AF6" s="4">
        <f>IF('Rhaniad y Ddeiliadaeth (Cymru)'!$D$8="Amcangyfrifon LlC",'Incwm (Gogledd)'!G6,'Incwm (Gogledd)'!Y6)</f>
        <v>13178.354035568504</v>
      </c>
      <c r="AG6" s="4">
        <f>IF('Rhaniad y Ddeiliadaeth (Cymru)'!$D$8="Amcangyfrifon LlC",'Incwm (Gogledd)'!H6,'Incwm (Gogledd)'!Z6)</f>
        <v>13404.767440310612</v>
      </c>
    </row>
    <row r="7" spans="2:33" x14ac:dyDescent="0.25">
      <c r="B7" s="20">
        <v>13</v>
      </c>
      <c r="C7" s="56">
        <v>12919.2</v>
      </c>
      <c r="D7" s="57">
        <f>C7*(1+'Rhaniad y Ddeiliadaeth (Gog)'!C$109)+(C$44*(-(50-$B7)*('Rhaniad y Ddeiliadaeth (Gog)'!C$110/40)))</f>
        <v>13140.695973635484</v>
      </c>
      <c r="E7" s="57">
        <f>D7*(1+'Rhaniad y Ddeiliadaeth (Gog)'!D$109)+(D$44*(-(50-$B7)*('Rhaniad y Ddeiliadaeth (Gog)'!D$110/40)))</f>
        <v>13234.674531448238</v>
      </c>
      <c r="F7" s="57">
        <f>E7*(1+'Rhaniad y Ddeiliadaeth (Gog)'!E$109)+(E$44*(-(50-$B7)*('Rhaniad y Ddeiliadaeth (Gog)'!E$110/40)))</f>
        <v>13418.656720912779</v>
      </c>
      <c r="G7" s="57">
        <f>F7*(1+'Rhaniad y Ddeiliadaeth (Gog)'!F$109)+(F$44*(-(50-$B7)*('Rhaniad y Ddeiliadaeth (Gog)'!F$110/40)))</f>
        <v>13657.938216483157</v>
      </c>
      <c r="H7" s="58">
        <f>G7*(1+'Rhaniad y Ddeiliadaeth (Gog)'!G$109)+(G$44*(-(50-$B7)*('Rhaniad y Ddeiliadaeth (Gog)'!G$110/40)))</f>
        <v>13909.847346724096</v>
      </c>
      <c r="J7" s="11" t="str">
        <f>IF(J4="","",IF(N85=1,"Mewnbwn y defnyddiwr yn anghyflawn",IF(N85=0,"Mewnbwn y defnyddiwr yn gyflawn","")))</f>
        <v/>
      </c>
      <c r="L7" s="62" t="str">
        <f t="shared" si="0"/>
        <v/>
      </c>
      <c r="M7" s="227"/>
      <c r="N7" s="36">
        <f t="shared" si="3"/>
        <v>1</v>
      </c>
      <c r="T7" s="1">
        <f t="shared" si="1"/>
        <v>13</v>
      </c>
      <c r="U7" s="4" t="str">
        <f t="shared" si="2"/>
        <v/>
      </c>
      <c r="V7" s="4" t="e">
        <f>IF($V$3=$M$3,M7,U7*(1+'Rhaniad y Ddeiliadaeth (Gog)'!C$109)+(U$44*(-(50-$T7)*('Rhaniad y Ddeiliadaeth (Gog)'!C$110/40))))</f>
        <v>#VALUE!</v>
      </c>
      <c r="W7" s="4" t="e">
        <f>V7*(1+'Rhaniad y Ddeiliadaeth (Gog)'!D$109)+(V$44*(-(50-$T7)*('Rhaniad y Ddeiliadaeth (Gog)'!D$110/40)))</f>
        <v>#VALUE!</v>
      </c>
      <c r="X7" s="4" t="e">
        <f>W7*(1+'Rhaniad y Ddeiliadaeth (Gog)'!E$109)+(W$44*(-(50-$T7)*('Rhaniad y Ddeiliadaeth (Gog)'!E$110/40)))</f>
        <v>#VALUE!</v>
      </c>
      <c r="Y7" s="4" t="e">
        <f>X7*(1+'Rhaniad y Ddeiliadaeth (Gog)'!F$109)+(X$44*(-(50-$T7)*('Rhaniad y Ddeiliadaeth (Gog)'!F$110/40)))</f>
        <v>#VALUE!</v>
      </c>
      <c r="Z7" s="4" t="e">
        <f>Y7*(1+'Rhaniad y Ddeiliadaeth (Gog)'!G$109)+(Y$44*(-(50-$T7)*('Rhaniad y Ddeiliadaeth (Gog)'!G$110/40)))</f>
        <v>#VALUE!</v>
      </c>
      <c r="AB7" s="1">
        <v>13</v>
      </c>
      <c r="AC7" s="4">
        <f>IF('Rhaniad y Ddeiliadaeth (Cymru)'!$D$8="Amcangyfrifon LlC",'Incwm (Gogledd)'!D7,'Incwm (Gogledd)'!V7)</f>
        <v>13140.695973635484</v>
      </c>
      <c r="AD7" s="4">
        <f>IF('Rhaniad y Ddeiliadaeth (Cymru)'!$D$8="Amcangyfrifon LlC",'Incwm (Gogledd)'!E7,'Incwm (Gogledd)'!W7)</f>
        <v>13234.674531448238</v>
      </c>
      <c r="AE7" s="4">
        <f>IF('Rhaniad y Ddeiliadaeth (Cymru)'!$D$8="Amcangyfrifon LlC",'Incwm (Gogledd)'!F7,'Incwm (Gogledd)'!X7)</f>
        <v>13418.656720912779</v>
      </c>
      <c r="AF7" s="4">
        <f>IF('Rhaniad y Ddeiliadaeth (Cymru)'!$D$8="Amcangyfrifon LlC",'Incwm (Gogledd)'!G7,'Incwm (Gogledd)'!Y7)</f>
        <v>13657.938216483157</v>
      </c>
      <c r="AG7" s="4">
        <f>IF('Rhaniad y Ddeiliadaeth (Cymru)'!$D$8="Amcangyfrifon LlC",'Incwm (Gogledd)'!H7,'Incwm (Gogledd)'!Z7)</f>
        <v>13909.847346724096</v>
      </c>
    </row>
    <row r="8" spans="2:33" x14ac:dyDescent="0.25">
      <c r="B8" s="20">
        <v>14</v>
      </c>
      <c r="C8" s="56">
        <v>12919.2</v>
      </c>
      <c r="D8" s="57">
        <f>C8*(1+'Rhaniad y Ddeiliadaeth (Gog)'!C$109)+(C$44*(-(50-$B8)*('Rhaniad y Ddeiliadaeth (Gog)'!C$110/40)))</f>
        <v>13147.062223635485</v>
      </c>
      <c r="E8" s="57">
        <f>D8*(1+'Rhaniad y Ddeiliadaeth (Gog)'!D$109)+(D$44*(-(50-$B8)*('Rhaniad y Ddeiliadaeth (Gog)'!D$110/40)))</f>
        <v>13247.795936475124</v>
      </c>
      <c r="F8" s="57">
        <f>E8*(1+'Rhaniad y Ddeiliadaeth (Gog)'!E$109)+(E$44*(-(50-$B8)*('Rhaniad y Ddeiliadaeth (Gog)'!E$110/40)))</f>
        <v>13438.969493271608</v>
      </c>
      <c r="G8" s="57">
        <f>F8*(1+'Rhaniad y Ddeiliadaeth (Gog)'!F$109)+(F$44*(-(50-$B8)*('Rhaniad y Ddeiliadaeth (Gog)'!F$110/40)))</f>
        <v>13685.987030435001</v>
      </c>
      <c r="H8" s="58">
        <f>G8*(1+'Rhaniad y Ddeiliadaeth (Gog)'!G$109)+(G$44*(-(50-$B8)*('Rhaniad y Ddeiliadaeth (Gog)'!G$110/40)))</f>
        <v>13946.205446315489</v>
      </c>
      <c r="L8" s="62" t="str">
        <f t="shared" si="0"/>
        <v/>
      </c>
      <c r="M8" s="227"/>
      <c r="N8" s="36">
        <f t="shared" si="3"/>
        <v>1</v>
      </c>
      <c r="T8" s="1">
        <f t="shared" si="1"/>
        <v>14</v>
      </c>
      <c r="U8" s="4" t="str">
        <f t="shared" si="2"/>
        <v/>
      </c>
      <c r="V8" s="4" t="e">
        <f>IF($V$3=$M$3,M8,U8*(1+'Rhaniad y Ddeiliadaeth (Gog)'!C$109)+(U$44*(-(50-$T8)*('Rhaniad y Ddeiliadaeth (Gog)'!C$110/40))))</f>
        <v>#VALUE!</v>
      </c>
      <c r="W8" s="4" t="e">
        <f>V8*(1+'Rhaniad y Ddeiliadaeth (Gog)'!D$109)+(V$44*(-(50-$T8)*('Rhaniad y Ddeiliadaeth (Gog)'!D$110/40)))</f>
        <v>#VALUE!</v>
      </c>
      <c r="X8" s="4" t="e">
        <f>W8*(1+'Rhaniad y Ddeiliadaeth (Gog)'!E$109)+(W$44*(-(50-$T8)*('Rhaniad y Ddeiliadaeth (Gog)'!E$110/40)))</f>
        <v>#VALUE!</v>
      </c>
      <c r="Y8" s="4" t="e">
        <f>X8*(1+'Rhaniad y Ddeiliadaeth (Gog)'!F$109)+(X$44*(-(50-$T8)*('Rhaniad y Ddeiliadaeth (Gog)'!F$110/40)))</f>
        <v>#VALUE!</v>
      </c>
      <c r="Z8" s="4" t="e">
        <f>Y8*(1+'Rhaniad y Ddeiliadaeth (Gog)'!G$109)+(Y$44*(-(50-$T8)*('Rhaniad y Ddeiliadaeth (Gog)'!G$110/40)))</f>
        <v>#VALUE!</v>
      </c>
      <c r="AB8" s="1">
        <v>14</v>
      </c>
      <c r="AC8" s="4">
        <f>IF('Rhaniad y Ddeiliadaeth (Cymru)'!$D$8="Amcangyfrifon LlC",'Incwm (Gogledd)'!D8,'Incwm (Gogledd)'!V8)</f>
        <v>13147.062223635485</v>
      </c>
      <c r="AD8" s="4">
        <f>IF('Rhaniad y Ddeiliadaeth (Cymru)'!$D$8="Amcangyfrifon LlC",'Incwm (Gogledd)'!E8,'Incwm (Gogledd)'!W8)</f>
        <v>13247.795936475124</v>
      </c>
      <c r="AE8" s="4">
        <f>IF('Rhaniad y Ddeiliadaeth (Cymru)'!$D$8="Amcangyfrifon LlC",'Incwm (Gogledd)'!F8,'Incwm (Gogledd)'!X8)</f>
        <v>13438.969493271608</v>
      </c>
      <c r="AF8" s="4">
        <f>IF('Rhaniad y Ddeiliadaeth (Cymru)'!$D$8="Amcangyfrifon LlC",'Incwm (Gogledd)'!G8,'Incwm (Gogledd)'!Y8)</f>
        <v>13685.987030435001</v>
      </c>
      <c r="AG8" s="4">
        <f>IF('Rhaniad y Ddeiliadaeth (Cymru)'!$D$8="Amcangyfrifon LlC",'Incwm (Gogledd)'!H8,'Incwm (Gogledd)'!Z8)</f>
        <v>13946.205446315489</v>
      </c>
    </row>
    <row r="9" spans="2:33" x14ac:dyDescent="0.25">
      <c r="B9" s="20">
        <v>15</v>
      </c>
      <c r="C9" s="56">
        <v>13095.5</v>
      </c>
      <c r="D9" s="57">
        <f>C9*(1+'Rhaniad y Ddeiliadaeth (Gog)'!C$109)+(C$44*(-(50-$B9)*('Rhaniad y Ddeiliadaeth (Gog)'!C$110/40)))</f>
        <v>13335.965502671874</v>
      </c>
      <c r="E9" s="57">
        <f>D9*(1+'Rhaniad y Ddeiliadaeth (Gog)'!D$109)+(D$44*(-(50-$B9)*('Rhaniad y Ddeiliadaeth (Gog)'!D$110/40)))</f>
        <v>13448.147615592135</v>
      </c>
      <c r="F9" s="57">
        <f>E9*(1+'Rhaniad y Ddeiliadaeth (Gog)'!E$109)+(E$44*(-(50-$B9)*('Rhaniad y Ddeiliadaeth (Gog)'!E$110/40)))</f>
        <v>13652.654256564148</v>
      </c>
      <c r="G9" s="57">
        <f>F9*(1+'Rhaniad y Ddeiliadaeth (Gog)'!F$109)+(F$44*(-(50-$B9)*('Rhaniad y Ddeiliadaeth (Gog)'!F$110/40)))</f>
        <v>13914.579200465801</v>
      </c>
      <c r="H9" s="58">
        <f>G9*(1+'Rhaniad y Ddeiliadaeth (Gog)'!G$109)+(G$44*(-(50-$B9)*('Rhaniad y Ddeiliadaeth (Gog)'!G$110/40)))</f>
        <v>14190.740027939211</v>
      </c>
      <c r="J9" s="420" t="str">
        <f>IF(J4="","Os hoffech ddefnyddio data eich hunain ar gyfer dosbarthiad incwm, newidwch eich dewislen.","")</f>
        <v>Os hoffech ddefnyddio data eich hunain ar gyfer dosbarthiad incwm, newidwch eich dewislen.</v>
      </c>
      <c r="L9" s="62" t="str">
        <f t="shared" si="0"/>
        <v/>
      </c>
      <c r="M9" s="227"/>
      <c r="N9" s="36">
        <f t="shared" si="3"/>
        <v>1</v>
      </c>
      <c r="T9" s="1">
        <f t="shared" si="1"/>
        <v>15</v>
      </c>
      <c r="U9" s="4" t="str">
        <f t="shared" si="2"/>
        <v/>
      </c>
      <c r="V9" s="4" t="e">
        <f>IF($V$3=$M$3,M9,U9*(1+'Rhaniad y Ddeiliadaeth (Gog)'!C$109)+(U$44*(-(50-$T9)*('Rhaniad y Ddeiliadaeth (Gog)'!C$110/40))))</f>
        <v>#VALUE!</v>
      </c>
      <c r="W9" s="4" t="e">
        <f>V9*(1+'Rhaniad y Ddeiliadaeth (Gog)'!D$109)+(V$44*(-(50-$T9)*('Rhaniad y Ddeiliadaeth (Gog)'!D$110/40)))</f>
        <v>#VALUE!</v>
      </c>
      <c r="X9" s="4" t="e">
        <f>W9*(1+'Rhaniad y Ddeiliadaeth (Gog)'!E$109)+(W$44*(-(50-$T9)*('Rhaniad y Ddeiliadaeth (Gog)'!E$110/40)))</f>
        <v>#VALUE!</v>
      </c>
      <c r="Y9" s="4" t="e">
        <f>X9*(1+'Rhaniad y Ddeiliadaeth (Gog)'!F$109)+(X$44*(-(50-$T9)*('Rhaniad y Ddeiliadaeth (Gog)'!F$110/40)))</f>
        <v>#VALUE!</v>
      </c>
      <c r="Z9" s="4" t="e">
        <f>Y9*(1+'Rhaniad y Ddeiliadaeth (Gog)'!G$109)+(Y$44*(-(50-$T9)*('Rhaniad y Ddeiliadaeth (Gog)'!G$110/40)))</f>
        <v>#VALUE!</v>
      </c>
      <c r="AB9" s="1">
        <v>15</v>
      </c>
      <c r="AC9" s="4">
        <f>IF('Rhaniad y Ddeiliadaeth (Cymru)'!$D$8="Amcangyfrifon LlC",'Incwm (Gogledd)'!D9,'Incwm (Gogledd)'!V9)</f>
        <v>13335.965502671874</v>
      </c>
      <c r="AD9" s="4">
        <f>IF('Rhaniad y Ddeiliadaeth (Cymru)'!$D$8="Amcangyfrifon LlC",'Incwm (Gogledd)'!E9,'Incwm (Gogledd)'!W9)</f>
        <v>13448.147615592135</v>
      </c>
      <c r="AE9" s="4">
        <f>IF('Rhaniad y Ddeiliadaeth (Cymru)'!$D$8="Amcangyfrifon LlC",'Incwm (Gogledd)'!F9,'Incwm (Gogledd)'!X9)</f>
        <v>13652.654256564148</v>
      </c>
      <c r="AF9" s="4">
        <f>IF('Rhaniad y Ddeiliadaeth (Cymru)'!$D$8="Amcangyfrifon LlC",'Incwm (Gogledd)'!G9,'Incwm (Gogledd)'!Y9)</f>
        <v>13914.579200465801</v>
      </c>
      <c r="AG9" s="4">
        <f>IF('Rhaniad y Ddeiliadaeth (Cymru)'!$D$8="Amcangyfrifon LlC",'Incwm (Gogledd)'!H9,'Incwm (Gogledd)'!Z9)</f>
        <v>14190.740027939211</v>
      </c>
    </row>
    <row r="10" spans="2:33" x14ac:dyDescent="0.25">
      <c r="B10" s="20">
        <v>16</v>
      </c>
      <c r="C10" s="56">
        <v>13505.24</v>
      </c>
      <c r="D10" s="57">
        <f>C10*(1+'Rhaniad y Ddeiliadaeth (Gog)'!C$109)+(C$44*(-(50-$B10)*('Rhaniad y Ddeiliadaeth (Gog)'!C$110/40)))</f>
        <v>13766.567273246863</v>
      </c>
      <c r="E10" s="57">
        <f>D10*(1+'Rhaniad y Ddeiliadaeth (Gog)'!D$109)+(D$44*(-(50-$B10)*('Rhaniad y Ddeiliadaeth (Gog)'!D$110/40)))</f>
        <v>13896.412143169729</v>
      </c>
      <c r="F10" s="57">
        <f>E10*(1+'Rhaniad y Ddeiliadaeth (Gog)'!E$109)+(E$44*(-(50-$B10)*('Rhaniad y Ddeiliadaeth (Gog)'!E$110/40)))</f>
        <v>14122.384156348839</v>
      </c>
      <c r="G10" s="57">
        <f>F10*(1+'Rhaniad y Ddeiliadaeth (Gog)'!F$109)+(F$44*(-(50-$B10)*('Rhaniad y Ddeiliadaeth (Gog)'!F$110/40)))</f>
        <v>14408.712159169729</v>
      </c>
      <c r="H10" s="58">
        <f>G10*(1+'Rhaniad y Ddeiliadaeth (Gog)'!G$109)+(G$44*(-(50-$B10)*('Rhaniad y Ddeiliadaeth (Gog)'!G$110/40)))</f>
        <v>14710.922470967515</v>
      </c>
      <c r="J10" s="420"/>
      <c r="L10" s="62" t="str">
        <f t="shared" si="0"/>
        <v/>
      </c>
      <c r="M10" s="227"/>
      <c r="N10" s="36">
        <f t="shared" si="3"/>
        <v>1</v>
      </c>
      <c r="T10" s="1">
        <f t="shared" si="1"/>
        <v>16</v>
      </c>
      <c r="U10" s="4" t="str">
        <f t="shared" si="2"/>
        <v/>
      </c>
      <c r="V10" s="4" t="e">
        <f>IF($V$3=$M$3,M10,U10*(1+'Rhaniad y Ddeiliadaeth (Gog)'!C$109)+(U$44*(-(50-$T10)*('Rhaniad y Ddeiliadaeth (Gog)'!C$110/40))))</f>
        <v>#VALUE!</v>
      </c>
      <c r="W10" s="4" t="e">
        <f>V10*(1+'Rhaniad y Ddeiliadaeth (Gog)'!D$109)+(V$44*(-(50-$T10)*('Rhaniad y Ddeiliadaeth (Gog)'!D$110/40)))</f>
        <v>#VALUE!</v>
      </c>
      <c r="X10" s="4" t="e">
        <f>W10*(1+'Rhaniad y Ddeiliadaeth (Gog)'!E$109)+(W$44*(-(50-$T10)*('Rhaniad y Ddeiliadaeth (Gog)'!E$110/40)))</f>
        <v>#VALUE!</v>
      </c>
      <c r="Y10" s="4" t="e">
        <f>X10*(1+'Rhaniad y Ddeiliadaeth (Gog)'!F$109)+(X$44*(-(50-$T10)*('Rhaniad y Ddeiliadaeth (Gog)'!F$110/40)))</f>
        <v>#VALUE!</v>
      </c>
      <c r="Z10" s="4" t="e">
        <f>Y10*(1+'Rhaniad y Ddeiliadaeth (Gog)'!G$109)+(Y$44*(-(50-$T10)*('Rhaniad y Ddeiliadaeth (Gog)'!G$110/40)))</f>
        <v>#VALUE!</v>
      </c>
      <c r="AB10" s="1">
        <v>16</v>
      </c>
      <c r="AC10" s="4">
        <f>IF('Rhaniad y Ddeiliadaeth (Cymru)'!$D$8="Amcangyfrifon LlC",'Incwm (Gogledd)'!D10,'Incwm (Gogledd)'!V10)</f>
        <v>13766.567273246863</v>
      </c>
      <c r="AD10" s="4">
        <f>IF('Rhaniad y Ddeiliadaeth (Cymru)'!$D$8="Amcangyfrifon LlC",'Incwm (Gogledd)'!E10,'Incwm (Gogledd)'!W10)</f>
        <v>13896.412143169729</v>
      </c>
      <c r="AE10" s="4">
        <f>IF('Rhaniad y Ddeiliadaeth (Cymru)'!$D$8="Amcangyfrifon LlC",'Incwm (Gogledd)'!F10,'Incwm (Gogledd)'!X10)</f>
        <v>14122.384156348839</v>
      </c>
      <c r="AF10" s="4">
        <f>IF('Rhaniad y Ddeiliadaeth (Cymru)'!$D$8="Amcangyfrifon LlC",'Incwm (Gogledd)'!G10,'Incwm (Gogledd)'!Y10)</f>
        <v>14408.712159169729</v>
      </c>
      <c r="AG10" s="4">
        <f>IF('Rhaniad y Ddeiliadaeth (Cymru)'!$D$8="Amcangyfrifon LlC",'Incwm (Gogledd)'!H10,'Incwm (Gogledd)'!Z10)</f>
        <v>14710.922470967515</v>
      </c>
    </row>
    <row r="11" spans="2:33" x14ac:dyDescent="0.25">
      <c r="B11" s="20">
        <v>17</v>
      </c>
      <c r="C11" s="56">
        <v>13841</v>
      </c>
      <c r="D11" s="57">
        <f>C11*(1+'Rhaniad y Ddeiliadaeth (Gog)'!C$109)+(C$44*(-(50-$B11)*('Rhaniad y Ddeiliadaeth (Gog)'!C$110/40)))</f>
        <v>14120.571826532503</v>
      </c>
      <c r="E11" s="57">
        <f>D11*(1+'Rhaniad y Ddeiliadaeth (Gog)'!D$109)+(D$44*(-(50-$B11)*('Rhaniad y Ddeiliadaeth (Gog)'!D$110/40)))</f>
        <v>14266.110047507458</v>
      </c>
      <c r="F11" s="57">
        <f>E11*(1+'Rhaniad y Ddeiliadaeth (Gog)'!E$109)+(E$44*(-(50-$B11)*('Rhaniad y Ddeiliadaeth (Gog)'!E$110/40)))</f>
        <v>14510.970211044045</v>
      </c>
      <c r="G11" s="57">
        <f>F11*(1+'Rhaniad y Ddeiliadaeth (Gog)'!F$109)+(F$44*(-(50-$B11)*('Rhaniad y Ddeiliadaeth (Gog)'!F$110/40)))</f>
        <v>14818.691984108929</v>
      </c>
      <c r="H11" s="58">
        <f>G11*(1+'Rhaniad y Ddeiliadaeth (Gog)'!G$109)+(G$44*(-(50-$B11)*('Rhaniad y Ddeiliadaeth (Gog)'!G$110/40)))</f>
        <v>15143.748724882082</v>
      </c>
      <c r="L11" s="62" t="str">
        <f t="shared" si="0"/>
        <v/>
      </c>
      <c r="M11" s="227"/>
      <c r="N11" s="36">
        <f t="shared" si="3"/>
        <v>1</v>
      </c>
      <c r="T11" s="1">
        <f t="shared" si="1"/>
        <v>17</v>
      </c>
      <c r="U11" s="4" t="str">
        <f t="shared" si="2"/>
        <v/>
      </c>
      <c r="V11" s="4" t="e">
        <f>IF($V$3=$M$3,M11,U11*(1+'Rhaniad y Ddeiliadaeth (Gog)'!C$109)+(U$44*(-(50-$T11)*('Rhaniad y Ddeiliadaeth (Gog)'!C$110/40))))</f>
        <v>#VALUE!</v>
      </c>
      <c r="W11" s="4" t="e">
        <f>V11*(1+'Rhaniad y Ddeiliadaeth (Gog)'!D$109)+(V$44*(-(50-$T11)*('Rhaniad y Ddeiliadaeth (Gog)'!D$110/40)))</f>
        <v>#VALUE!</v>
      </c>
      <c r="X11" s="4" t="e">
        <f>W11*(1+'Rhaniad y Ddeiliadaeth (Gog)'!E$109)+(W$44*(-(50-$T11)*('Rhaniad y Ddeiliadaeth (Gog)'!E$110/40)))</f>
        <v>#VALUE!</v>
      </c>
      <c r="Y11" s="4" t="e">
        <f>X11*(1+'Rhaniad y Ddeiliadaeth (Gog)'!F$109)+(X$44*(-(50-$T11)*('Rhaniad y Ddeiliadaeth (Gog)'!F$110/40)))</f>
        <v>#VALUE!</v>
      </c>
      <c r="Z11" s="4" t="e">
        <f>Y11*(1+'Rhaniad y Ddeiliadaeth (Gog)'!G$109)+(Y$44*(-(50-$T11)*('Rhaniad y Ddeiliadaeth (Gog)'!G$110/40)))</f>
        <v>#VALUE!</v>
      </c>
      <c r="AB11" s="1">
        <v>17</v>
      </c>
      <c r="AC11" s="4">
        <f>IF('Rhaniad y Ddeiliadaeth (Cymru)'!$D$8="Amcangyfrifon LlC",'Incwm (Gogledd)'!D11,'Incwm (Gogledd)'!V11)</f>
        <v>14120.571826532503</v>
      </c>
      <c r="AD11" s="4">
        <f>IF('Rhaniad y Ddeiliadaeth (Cymru)'!$D$8="Amcangyfrifon LlC",'Incwm (Gogledd)'!E11,'Incwm (Gogledd)'!W11)</f>
        <v>14266.110047507458</v>
      </c>
      <c r="AE11" s="4">
        <f>IF('Rhaniad y Ddeiliadaeth (Cymru)'!$D$8="Amcangyfrifon LlC",'Incwm (Gogledd)'!F11,'Incwm (Gogledd)'!X11)</f>
        <v>14510.970211044045</v>
      </c>
      <c r="AF11" s="4">
        <f>IF('Rhaniad y Ddeiliadaeth (Cymru)'!$D$8="Amcangyfrifon LlC",'Incwm (Gogledd)'!G11,'Incwm (Gogledd)'!Y11)</f>
        <v>14818.691984108929</v>
      </c>
      <c r="AG11" s="4">
        <f>IF('Rhaniad y Ddeiliadaeth (Cymru)'!$D$8="Amcangyfrifon LlC",'Incwm (Gogledd)'!H11,'Incwm (Gogledd)'!Z11)</f>
        <v>15143.748724882082</v>
      </c>
    </row>
    <row r="12" spans="2:33" x14ac:dyDescent="0.25">
      <c r="B12" s="20">
        <v>18</v>
      </c>
      <c r="C12" s="56">
        <v>14160.76</v>
      </c>
      <c r="D12" s="57">
        <f>C12*(1+'Rhaniad y Ddeiliadaeth (Gog)'!C$109)+(C$44*(-(50-$B12)*('Rhaniad y Ddeiliadaeth (Gog)'!C$110/40)))</f>
        <v>14458.010342015636</v>
      </c>
      <c r="E12" s="57">
        <f>D12*(1+'Rhaniad y Ddeiliadaeth (Gog)'!D$109)+(D$44*(-(50-$B12)*('Rhaniad y Ddeiliadaeth (Gog)'!D$110/40)))</f>
        <v>14618.815981422942</v>
      </c>
      <c r="F12" s="57">
        <f>E12*(1+'Rhaniad y Ddeiliadaeth (Gog)'!E$109)+(E$44*(-(50-$B12)*('Rhaniad y Ddeiliadaeth (Gog)'!E$110/40)))</f>
        <v>14882.006907514977</v>
      </c>
      <c r="G12" s="57">
        <f>F12*(1+'Rhaniad y Ddeiliadaeth (Gog)'!F$109)+(F$44*(-(50-$B12)*('Rhaniad y Ddeiliadaeth (Gog)'!F$110/40)))</f>
        <v>15210.471617912204</v>
      </c>
      <c r="H12" s="58">
        <f>G12*(1+'Rhaniad y Ddeiliadaeth (Gog)'!G$109)+(G$44*(-(50-$B12)*('Rhaniad y Ddeiliadaeth (Gog)'!G$110/40)))</f>
        <v>15557.682047925873</v>
      </c>
      <c r="L12" s="62" t="str">
        <f t="shared" si="0"/>
        <v/>
      </c>
      <c r="M12" s="227"/>
      <c r="N12" s="36">
        <f t="shared" si="3"/>
        <v>1</v>
      </c>
      <c r="T12" s="1">
        <f t="shared" si="1"/>
        <v>18</v>
      </c>
      <c r="U12" s="4" t="str">
        <f t="shared" si="2"/>
        <v/>
      </c>
      <c r="V12" s="4" t="e">
        <f>IF($V$3=$M$3,M12,U12*(1+'Rhaniad y Ddeiliadaeth (Gog)'!C$109)+(U$44*(-(50-$T12)*('Rhaniad y Ddeiliadaeth (Gog)'!C$110/40))))</f>
        <v>#VALUE!</v>
      </c>
      <c r="W12" s="4" t="e">
        <f>V12*(1+'Rhaniad y Ddeiliadaeth (Gog)'!D$109)+(V$44*(-(50-$T12)*('Rhaniad y Ddeiliadaeth (Gog)'!D$110/40)))</f>
        <v>#VALUE!</v>
      </c>
      <c r="X12" s="4" t="e">
        <f>W12*(1+'Rhaniad y Ddeiliadaeth (Gog)'!E$109)+(W$44*(-(50-$T12)*('Rhaniad y Ddeiliadaeth (Gog)'!E$110/40)))</f>
        <v>#VALUE!</v>
      </c>
      <c r="Y12" s="4" t="e">
        <f>X12*(1+'Rhaniad y Ddeiliadaeth (Gog)'!F$109)+(X$44*(-(50-$T12)*('Rhaniad y Ddeiliadaeth (Gog)'!F$110/40)))</f>
        <v>#VALUE!</v>
      </c>
      <c r="Z12" s="4" t="e">
        <f>Y12*(1+'Rhaniad y Ddeiliadaeth (Gog)'!G$109)+(Y$44*(-(50-$T12)*('Rhaniad y Ddeiliadaeth (Gog)'!G$110/40)))</f>
        <v>#VALUE!</v>
      </c>
      <c r="AB12" s="1">
        <v>18</v>
      </c>
      <c r="AC12" s="4">
        <f>IF('Rhaniad y Ddeiliadaeth (Cymru)'!$D$8="Amcangyfrifon LlC",'Incwm (Gogledd)'!D12,'Incwm (Gogledd)'!V12)</f>
        <v>14458.010342015636</v>
      </c>
      <c r="AD12" s="4">
        <f>IF('Rhaniad y Ddeiliadaeth (Cymru)'!$D$8="Amcangyfrifon LlC",'Incwm (Gogledd)'!E12,'Incwm (Gogledd)'!W12)</f>
        <v>14618.815981422942</v>
      </c>
      <c r="AE12" s="4">
        <f>IF('Rhaniad y Ddeiliadaeth (Cymru)'!$D$8="Amcangyfrifon LlC",'Incwm (Gogledd)'!F12,'Incwm (Gogledd)'!X12)</f>
        <v>14882.006907514977</v>
      </c>
      <c r="AF12" s="4">
        <f>IF('Rhaniad y Ddeiliadaeth (Cymru)'!$D$8="Amcangyfrifon LlC",'Incwm (Gogledd)'!G12,'Incwm (Gogledd)'!Y12)</f>
        <v>15210.471617912204</v>
      </c>
      <c r="AG12" s="4">
        <f>IF('Rhaniad y Ddeiliadaeth (Cymru)'!$D$8="Amcangyfrifon LlC",'Incwm (Gogledd)'!H12,'Incwm (Gogledd)'!Z12)</f>
        <v>15557.682047925873</v>
      </c>
    </row>
    <row r="13" spans="2:33" x14ac:dyDescent="0.25">
      <c r="B13" s="20">
        <v>19</v>
      </c>
      <c r="C13" s="56">
        <v>14500.19</v>
      </c>
      <c r="D13" s="57">
        <f>C13*(1+'Rhaniad y Ddeiliadaeth (Gog)'!C$109)+(C$44*(-(50-$B13)*('Rhaniad y Ddeiliadaeth (Gog)'!C$110/40)))</f>
        <v>14815.814730222228</v>
      </c>
      <c r="E13" s="57">
        <f>D13*(1+'Rhaniad y Ddeiliadaeth (Gog)'!D$109)+(D$44*(-(50-$B13)*('Rhaniad y Ddeiliadaeth (Gog)'!D$110/40)))</f>
        <v>14992.411418976275</v>
      </c>
      <c r="F13" s="57">
        <f>E13*(1+'Rhaniad y Ddeiliadaeth (Gog)'!E$109)+(E$44*(-(50-$B13)*('Rhaniad y Ddeiliadaeth (Gog)'!E$110/40)))</f>
        <v>15274.618346252877</v>
      </c>
      <c r="G13" s="57">
        <f>F13*(1+'Rhaniad y Ddeiliadaeth (Gog)'!F$109)+(F$44*(-(50-$B13)*('Rhaniad y Ddeiliadaeth (Gog)'!F$110/40)))</f>
        <v>15624.626111693207</v>
      </c>
      <c r="H13" s="58">
        <f>G13*(1+'Rhaniad y Ddeiliadaeth (Gog)'!G$109)+(G$44*(-(50-$B13)*('Rhaniad y Ddeiliadaeth (Gog)'!G$110/40)))</f>
        <v>15994.841867858922</v>
      </c>
      <c r="L13" s="62" t="str">
        <f t="shared" si="0"/>
        <v/>
      </c>
      <c r="M13" s="227"/>
      <c r="N13" s="36">
        <f t="shared" si="3"/>
        <v>1</v>
      </c>
      <c r="T13" s="1">
        <f t="shared" si="1"/>
        <v>19</v>
      </c>
      <c r="U13" s="4" t="str">
        <f t="shared" si="2"/>
        <v/>
      </c>
      <c r="V13" s="4" t="e">
        <f>IF($V$3=$M$3,M13,U13*(1+'Rhaniad y Ddeiliadaeth (Gog)'!C$109)+(U$44*(-(50-$T13)*('Rhaniad y Ddeiliadaeth (Gog)'!C$110/40))))</f>
        <v>#VALUE!</v>
      </c>
      <c r="W13" s="4" t="e">
        <f>V13*(1+'Rhaniad y Ddeiliadaeth (Gog)'!D$109)+(V$44*(-(50-$T13)*('Rhaniad y Ddeiliadaeth (Gog)'!D$110/40)))</f>
        <v>#VALUE!</v>
      </c>
      <c r="X13" s="4" t="e">
        <f>W13*(1+'Rhaniad y Ddeiliadaeth (Gog)'!E$109)+(W$44*(-(50-$T13)*('Rhaniad y Ddeiliadaeth (Gog)'!E$110/40)))</f>
        <v>#VALUE!</v>
      </c>
      <c r="Y13" s="4" t="e">
        <f>X13*(1+'Rhaniad y Ddeiliadaeth (Gog)'!F$109)+(X$44*(-(50-$T13)*('Rhaniad y Ddeiliadaeth (Gog)'!F$110/40)))</f>
        <v>#VALUE!</v>
      </c>
      <c r="Z13" s="4" t="e">
        <f>Y13*(1+'Rhaniad y Ddeiliadaeth (Gog)'!G$109)+(Y$44*(-(50-$T13)*('Rhaniad y Ddeiliadaeth (Gog)'!G$110/40)))</f>
        <v>#VALUE!</v>
      </c>
      <c r="AB13" s="1">
        <v>19</v>
      </c>
      <c r="AC13" s="4">
        <f>IF('Rhaniad y Ddeiliadaeth (Cymru)'!$D$8="Amcangyfrifon LlC",'Incwm (Gogledd)'!D13,'Incwm (Gogledd)'!V13)</f>
        <v>14815.814730222228</v>
      </c>
      <c r="AD13" s="4">
        <f>IF('Rhaniad y Ddeiliadaeth (Cymru)'!$D$8="Amcangyfrifon LlC",'Incwm (Gogledd)'!E13,'Incwm (Gogledd)'!W13)</f>
        <v>14992.411418976275</v>
      </c>
      <c r="AE13" s="4">
        <f>IF('Rhaniad y Ddeiliadaeth (Cymru)'!$D$8="Amcangyfrifon LlC",'Incwm (Gogledd)'!F13,'Incwm (Gogledd)'!X13)</f>
        <v>15274.618346252877</v>
      </c>
      <c r="AF13" s="4">
        <f>IF('Rhaniad y Ddeiliadaeth (Cymru)'!$D$8="Amcangyfrifon LlC",'Incwm (Gogledd)'!G13,'Incwm (Gogledd)'!Y13)</f>
        <v>15624.626111693207</v>
      </c>
      <c r="AG13" s="4">
        <f>IF('Rhaniad y Ddeiliadaeth (Cymru)'!$D$8="Amcangyfrifon LlC",'Incwm (Gogledd)'!H13,'Incwm (Gogledd)'!Z13)</f>
        <v>15994.841867858922</v>
      </c>
    </row>
    <row r="14" spans="2:33" x14ac:dyDescent="0.25">
      <c r="B14" s="20">
        <v>20</v>
      </c>
      <c r="C14" s="56">
        <v>14820</v>
      </c>
      <c r="D14" s="57">
        <f>C14*(1+'Rhaniad y Ddeiliadaeth (Gog)'!C$109)+(C$44*(-(50-$B14)*('Rhaniad y Ddeiliadaeth (Gog)'!C$110/40)))</f>
        <v>15153.305014573492</v>
      </c>
      <c r="E14" s="57">
        <f>D14*(1+'Rhaniad y Ddeiliadaeth (Gog)'!D$109)+(D$44*(-(50-$B14)*('Rhaniad y Ddeiliadaeth (Gog)'!D$110/40)))</f>
        <v>15345.170452799328</v>
      </c>
      <c r="F14" s="57">
        <f>E14*(1+'Rhaniad y Ddeiliadaeth (Gog)'!E$109)+(E$44*(-(50-$B14)*('Rhaniad y Ddeiliadaeth (Gog)'!E$110/40)))</f>
        <v>15645.70988446826</v>
      </c>
      <c r="G14" s="57">
        <f>F14*(1+'Rhaniad y Ddeiliadaeth (Gog)'!F$109)+(F$44*(-(50-$B14)*('Rhaniad y Ddeiliadaeth (Gog)'!F$110/40)))</f>
        <v>16016.462621093784</v>
      </c>
      <c r="H14" s="58">
        <f>G14*(1+'Rhaniad y Ddeiliadaeth (Gog)'!G$109)+(G$44*(-(50-$B14)*('Rhaniad y Ddeiliadaeth (Gog)'!G$110/40)))</f>
        <v>16408.834231311688</v>
      </c>
      <c r="L14" s="62" t="str">
        <f t="shared" si="0"/>
        <v/>
      </c>
      <c r="M14" s="227"/>
      <c r="N14" s="36">
        <f t="shared" si="3"/>
        <v>1</v>
      </c>
      <c r="T14" s="1">
        <f t="shared" si="1"/>
        <v>20</v>
      </c>
      <c r="U14" s="4" t="str">
        <f t="shared" si="2"/>
        <v/>
      </c>
      <c r="V14" s="4" t="e">
        <f>IF($V$3=$M$3,M14,U14*(1+'Rhaniad y Ddeiliadaeth (Gog)'!C$109)+(U$44*(-(50-$T14)*('Rhaniad y Ddeiliadaeth (Gog)'!C$110/40))))</f>
        <v>#VALUE!</v>
      </c>
      <c r="W14" s="4" t="e">
        <f>V14*(1+'Rhaniad y Ddeiliadaeth (Gog)'!D$109)+(V$44*(-(50-$T14)*('Rhaniad y Ddeiliadaeth (Gog)'!D$110/40)))</f>
        <v>#VALUE!</v>
      </c>
      <c r="X14" s="4" t="e">
        <f>W14*(1+'Rhaniad y Ddeiliadaeth (Gog)'!E$109)+(W$44*(-(50-$T14)*('Rhaniad y Ddeiliadaeth (Gog)'!E$110/40)))</f>
        <v>#VALUE!</v>
      </c>
      <c r="Y14" s="4" t="e">
        <f>X14*(1+'Rhaniad y Ddeiliadaeth (Gog)'!F$109)+(X$44*(-(50-$T14)*('Rhaniad y Ddeiliadaeth (Gog)'!F$110/40)))</f>
        <v>#VALUE!</v>
      </c>
      <c r="Z14" s="4" t="e">
        <f>Y14*(1+'Rhaniad y Ddeiliadaeth (Gog)'!G$109)+(Y$44*(-(50-$T14)*('Rhaniad y Ddeiliadaeth (Gog)'!G$110/40)))</f>
        <v>#VALUE!</v>
      </c>
      <c r="AB14" s="1">
        <v>20</v>
      </c>
      <c r="AC14" s="4">
        <f>IF('Rhaniad y Ddeiliadaeth (Cymru)'!$D$8="Amcangyfrifon LlC",'Incwm (Gogledd)'!D14,'Incwm (Gogledd)'!V14)</f>
        <v>15153.305014573492</v>
      </c>
      <c r="AD14" s="4">
        <f>IF('Rhaniad y Ddeiliadaeth (Cymru)'!$D$8="Amcangyfrifon LlC",'Incwm (Gogledd)'!E14,'Incwm (Gogledd)'!W14)</f>
        <v>15345.170452799328</v>
      </c>
      <c r="AE14" s="4">
        <f>IF('Rhaniad y Ddeiliadaeth (Cymru)'!$D$8="Amcangyfrifon LlC",'Incwm (Gogledd)'!F14,'Incwm (Gogledd)'!X14)</f>
        <v>15645.70988446826</v>
      </c>
      <c r="AF14" s="4">
        <f>IF('Rhaniad y Ddeiliadaeth (Cymru)'!$D$8="Amcangyfrifon LlC",'Incwm (Gogledd)'!G14,'Incwm (Gogledd)'!Y14)</f>
        <v>16016.462621093784</v>
      </c>
      <c r="AG14" s="4">
        <f>IF('Rhaniad y Ddeiliadaeth (Cymru)'!$D$8="Amcangyfrifon LlC",'Incwm (Gogledd)'!H14,'Incwm (Gogledd)'!Z14)</f>
        <v>16408.834231311688</v>
      </c>
    </row>
    <row r="15" spans="2:33" x14ac:dyDescent="0.25">
      <c r="B15" s="20">
        <v>21</v>
      </c>
      <c r="C15" s="56">
        <v>14970.1</v>
      </c>
      <c r="D15" s="57">
        <f>C15*(1+'Rhaniad y Ddeiliadaeth (Gog)'!C$109)+(C$44*(-(50-$B15)*('Rhaniad y Ddeiliadaeth (Gog)'!C$110/40)))</f>
        <v>15315.081406708276</v>
      </c>
      <c r="E15" s="57">
        <f>D15*(1+'Rhaniad y Ddeiliadaeth (Gog)'!D$109)+(D$44*(-(50-$B15)*('Rhaniad y Ddeiliadaeth (Gog)'!D$110/40)))</f>
        <v>15517.697780349914</v>
      </c>
      <c r="F15" s="57">
        <f>E15*(1+'Rhaniad y Ddeiliadaeth (Gog)'!E$109)+(E$44*(-(50-$B15)*('Rhaniad y Ddeiliadaeth (Gog)'!E$110/40)))</f>
        <v>15830.657573668555</v>
      </c>
      <c r="G15" s="57">
        <f>F15*(1+'Rhaniad y Ddeiliadaeth (Gog)'!F$109)+(F$44*(-(50-$B15)*('Rhaniad y Ddeiliadaeth (Gog)'!F$110/40)))</f>
        <v>16215.251978139511</v>
      </c>
      <c r="H15" s="58">
        <f>G15*(1+'Rhaniad y Ddeiliadaeth (Gog)'!G$109)+(G$44*(-(50-$B15)*('Rhaniad y Ddeiliadaeth (Gog)'!G$110/40)))</f>
        <v>16622.43163863452</v>
      </c>
      <c r="L15" s="62" t="str">
        <f t="shared" si="0"/>
        <v/>
      </c>
      <c r="M15" s="227"/>
      <c r="N15" s="36">
        <f t="shared" si="3"/>
        <v>1</v>
      </c>
      <c r="T15" s="1">
        <f t="shared" si="1"/>
        <v>21</v>
      </c>
      <c r="U15" s="4" t="str">
        <f t="shared" si="2"/>
        <v/>
      </c>
      <c r="V15" s="4" t="e">
        <f>IF($V$3=$M$3,M15,U15*(1+'Rhaniad y Ddeiliadaeth (Gog)'!C$109)+(U$44*(-(50-$T15)*('Rhaniad y Ddeiliadaeth (Gog)'!C$110/40))))</f>
        <v>#VALUE!</v>
      </c>
      <c r="W15" s="4" t="e">
        <f>V15*(1+'Rhaniad y Ddeiliadaeth (Gog)'!D$109)+(V$44*(-(50-$T15)*('Rhaniad y Ddeiliadaeth (Gog)'!D$110/40)))</f>
        <v>#VALUE!</v>
      </c>
      <c r="X15" s="4" t="e">
        <f>W15*(1+'Rhaniad y Ddeiliadaeth (Gog)'!E$109)+(W$44*(-(50-$T15)*('Rhaniad y Ddeiliadaeth (Gog)'!E$110/40)))</f>
        <v>#VALUE!</v>
      </c>
      <c r="Y15" s="4" t="e">
        <f>X15*(1+'Rhaniad y Ddeiliadaeth (Gog)'!F$109)+(X$44*(-(50-$T15)*('Rhaniad y Ddeiliadaeth (Gog)'!F$110/40)))</f>
        <v>#VALUE!</v>
      </c>
      <c r="Z15" s="4" t="e">
        <f>Y15*(1+'Rhaniad y Ddeiliadaeth (Gog)'!G$109)+(Y$44*(-(50-$T15)*('Rhaniad y Ddeiliadaeth (Gog)'!G$110/40)))</f>
        <v>#VALUE!</v>
      </c>
      <c r="AB15" s="1">
        <v>21</v>
      </c>
      <c r="AC15" s="4">
        <f>IF('Rhaniad y Ddeiliadaeth (Cymru)'!$D$8="Amcangyfrifon LlC",'Incwm (Gogledd)'!D15,'Incwm (Gogledd)'!V15)</f>
        <v>15315.081406708276</v>
      </c>
      <c r="AD15" s="4">
        <f>IF('Rhaniad y Ddeiliadaeth (Cymru)'!$D$8="Amcangyfrifon LlC",'Incwm (Gogledd)'!E15,'Incwm (Gogledd)'!W15)</f>
        <v>15517.697780349914</v>
      </c>
      <c r="AE15" s="4">
        <f>IF('Rhaniad y Ddeiliadaeth (Cymru)'!$D$8="Amcangyfrifon LlC",'Incwm (Gogledd)'!F15,'Incwm (Gogledd)'!X15)</f>
        <v>15830.657573668555</v>
      </c>
      <c r="AF15" s="4">
        <f>IF('Rhaniad y Ddeiliadaeth (Cymru)'!$D$8="Amcangyfrifon LlC",'Incwm (Gogledd)'!G15,'Incwm (Gogledd)'!Y15)</f>
        <v>16215.251978139511</v>
      </c>
      <c r="AG15" s="4">
        <f>IF('Rhaniad y Ddeiliadaeth (Cymru)'!$D$8="Amcangyfrifon LlC",'Incwm (Gogledd)'!H15,'Incwm (Gogledd)'!Z15)</f>
        <v>16622.43163863452</v>
      </c>
    </row>
    <row r="16" spans="2:33" x14ac:dyDescent="0.25">
      <c r="B16" s="20">
        <v>22</v>
      </c>
      <c r="C16" s="56">
        <v>14970.1</v>
      </c>
      <c r="D16" s="57">
        <f>C16*(1+'Rhaniad y Ddeiliadaeth (Gog)'!C$109)+(C$44*(-(50-$B16)*('Rhaniad y Ddeiliadaeth (Gog)'!C$110/40)))</f>
        <v>15321.447656708277</v>
      </c>
      <c r="E16" s="57">
        <f>D16*(1+'Rhaniad y Ddeiliadaeth (Gog)'!D$109)+(D$44*(-(50-$B16)*('Rhaniad y Ddeiliadaeth (Gog)'!D$110/40)))</f>
        <v>15530.819185376798</v>
      </c>
      <c r="F16" s="57">
        <f>E16*(1+'Rhaniad y Ddeiliadaeth (Gog)'!E$109)+(E$44*(-(50-$B16)*('Rhaniad y Ddeiliadaeth (Gog)'!E$110/40)))</f>
        <v>15850.970346027385</v>
      </c>
      <c r="G16" s="57">
        <f>F16*(1+'Rhaniad y Ddeiliadaeth (Gog)'!F$109)+(F$44*(-(50-$B16)*('Rhaniad y Ddeiliadaeth (Gog)'!F$110/40)))</f>
        <v>16243.300792091359</v>
      </c>
      <c r="H16" s="58">
        <f>G16*(1+'Rhaniad y Ddeiliadaeth (Gog)'!G$109)+(G$44*(-(50-$B16)*('Rhaniad y Ddeiliadaeth (Gog)'!G$110/40)))</f>
        <v>16658.789738225918</v>
      </c>
      <c r="L16" s="62" t="str">
        <f t="shared" si="0"/>
        <v/>
      </c>
      <c r="M16" s="227"/>
      <c r="N16" s="36">
        <f t="shared" si="3"/>
        <v>1</v>
      </c>
      <c r="T16" s="1">
        <f t="shared" si="1"/>
        <v>22</v>
      </c>
      <c r="U16" s="4" t="str">
        <f t="shared" si="2"/>
        <v/>
      </c>
      <c r="V16" s="4" t="e">
        <f>IF($V$3=$M$3,M16,U16*(1+'Rhaniad y Ddeiliadaeth (Gog)'!C$109)+(U$44*(-(50-$T16)*('Rhaniad y Ddeiliadaeth (Gog)'!C$110/40))))</f>
        <v>#VALUE!</v>
      </c>
      <c r="W16" s="4" t="e">
        <f>V16*(1+'Rhaniad y Ddeiliadaeth (Gog)'!D$109)+(V$44*(-(50-$T16)*('Rhaniad y Ddeiliadaeth (Gog)'!D$110/40)))</f>
        <v>#VALUE!</v>
      </c>
      <c r="X16" s="4" t="e">
        <f>W16*(1+'Rhaniad y Ddeiliadaeth (Gog)'!E$109)+(W$44*(-(50-$T16)*('Rhaniad y Ddeiliadaeth (Gog)'!E$110/40)))</f>
        <v>#VALUE!</v>
      </c>
      <c r="Y16" s="4" t="e">
        <f>X16*(1+'Rhaniad y Ddeiliadaeth (Gog)'!F$109)+(X$44*(-(50-$T16)*('Rhaniad y Ddeiliadaeth (Gog)'!F$110/40)))</f>
        <v>#VALUE!</v>
      </c>
      <c r="Z16" s="4" t="e">
        <f>Y16*(1+'Rhaniad y Ddeiliadaeth (Gog)'!G$109)+(Y$44*(-(50-$T16)*('Rhaniad y Ddeiliadaeth (Gog)'!G$110/40)))</f>
        <v>#VALUE!</v>
      </c>
      <c r="AB16" s="1">
        <v>22</v>
      </c>
      <c r="AC16" s="4">
        <f>IF('Rhaniad y Ddeiliadaeth (Cymru)'!$D$8="Amcangyfrifon LlC",'Incwm (Gogledd)'!D16,'Incwm (Gogledd)'!V16)</f>
        <v>15321.447656708277</v>
      </c>
      <c r="AD16" s="4">
        <f>IF('Rhaniad y Ddeiliadaeth (Cymru)'!$D$8="Amcangyfrifon LlC",'Incwm (Gogledd)'!E16,'Incwm (Gogledd)'!W16)</f>
        <v>15530.819185376798</v>
      </c>
      <c r="AE16" s="4">
        <f>IF('Rhaniad y Ddeiliadaeth (Cymru)'!$D$8="Amcangyfrifon LlC",'Incwm (Gogledd)'!F16,'Incwm (Gogledd)'!X16)</f>
        <v>15850.970346027385</v>
      </c>
      <c r="AF16" s="4">
        <f>IF('Rhaniad y Ddeiliadaeth (Cymru)'!$D$8="Amcangyfrifon LlC",'Incwm (Gogledd)'!G16,'Incwm (Gogledd)'!Y16)</f>
        <v>16243.300792091359</v>
      </c>
      <c r="AG16" s="4">
        <f>IF('Rhaniad y Ddeiliadaeth (Cymru)'!$D$8="Amcangyfrifon LlC",'Incwm (Gogledd)'!H16,'Incwm (Gogledd)'!Z16)</f>
        <v>16658.789738225918</v>
      </c>
    </row>
    <row r="17" spans="2:33" x14ac:dyDescent="0.25">
      <c r="B17" s="20">
        <v>23</v>
      </c>
      <c r="C17" s="56">
        <v>15070.1</v>
      </c>
      <c r="D17" s="57">
        <f>C17*(1+'Rhaniad y Ddeiliadaeth (Gog)'!C$109)+(C$44*(-(50-$B17)*('Rhaniad y Ddeiliadaeth (Gog)'!C$110/40)))</f>
        <v>15431.351642973952</v>
      </c>
      <c r="E17" s="57">
        <f>D17*(1+'Rhaniad y Ddeiliadaeth (Gog)'!D$109)+(D$44*(-(50-$B17)*('Rhaniad y Ddeiliadaeth (Gog)'!D$110/40)))</f>
        <v>15650.140405542723</v>
      </c>
      <c r="F17" s="57">
        <f>E17*(1+'Rhaniad y Ddeiliadaeth (Gog)'!E$109)+(E$44*(-(50-$B17)*('Rhaniad y Ddeiliadaeth (Gog)'!E$110/40)))</f>
        <v>15980.966607287923</v>
      </c>
      <c r="G17" s="57">
        <f>F17*(1+'Rhaniad y Ddeiliadaeth (Gog)'!F$109)+(F$44*(-(50-$B17)*('Rhaniad y Ddeiliadaeth (Gog)'!F$110/40)))</f>
        <v>16385.100800642722</v>
      </c>
      <c r="H17" s="58">
        <f>G17*(1+'Rhaniad y Ddeiliadaeth (Gog)'!G$109)+(G$44*(-(50-$B17)*('Rhaniad y Ddeiliadaeth (Gog)'!G$110/40)))</f>
        <v>16813.228655759638</v>
      </c>
      <c r="L17" s="62" t="str">
        <f t="shared" si="0"/>
        <v/>
      </c>
      <c r="M17" s="227"/>
      <c r="N17" s="36">
        <f t="shared" si="3"/>
        <v>1</v>
      </c>
      <c r="T17" s="1">
        <f t="shared" si="1"/>
        <v>23</v>
      </c>
      <c r="U17" s="4" t="str">
        <f t="shared" si="2"/>
        <v/>
      </c>
      <c r="V17" s="4" t="e">
        <f>IF($V$3=$M$3,M17,U17*(1+'Rhaniad y Ddeiliadaeth (Gog)'!C$109)+(U$44*(-(50-$T17)*('Rhaniad y Ddeiliadaeth (Gog)'!C$110/40))))</f>
        <v>#VALUE!</v>
      </c>
      <c r="W17" s="4" t="e">
        <f>V17*(1+'Rhaniad y Ddeiliadaeth (Gog)'!D$109)+(V$44*(-(50-$T17)*('Rhaniad y Ddeiliadaeth (Gog)'!D$110/40)))</f>
        <v>#VALUE!</v>
      </c>
      <c r="X17" s="4" t="e">
        <f>W17*(1+'Rhaniad y Ddeiliadaeth (Gog)'!E$109)+(W$44*(-(50-$T17)*('Rhaniad y Ddeiliadaeth (Gog)'!E$110/40)))</f>
        <v>#VALUE!</v>
      </c>
      <c r="Y17" s="4" t="e">
        <f>X17*(1+'Rhaniad y Ddeiliadaeth (Gog)'!F$109)+(X$44*(-(50-$T17)*('Rhaniad y Ddeiliadaeth (Gog)'!F$110/40)))</f>
        <v>#VALUE!</v>
      </c>
      <c r="Z17" s="4" t="e">
        <f>Y17*(1+'Rhaniad y Ddeiliadaeth (Gog)'!G$109)+(Y$44*(-(50-$T17)*('Rhaniad y Ddeiliadaeth (Gog)'!G$110/40)))</f>
        <v>#VALUE!</v>
      </c>
      <c r="AB17" s="1">
        <v>23</v>
      </c>
      <c r="AC17" s="4">
        <f>IF('Rhaniad y Ddeiliadaeth (Cymru)'!$D$8="Amcangyfrifon LlC",'Incwm (Gogledd)'!D17,'Incwm (Gogledd)'!V17)</f>
        <v>15431.351642973952</v>
      </c>
      <c r="AD17" s="4">
        <f>IF('Rhaniad y Ddeiliadaeth (Cymru)'!$D$8="Amcangyfrifon LlC",'Incwm (Gogledd)'!E17,'Incwm (Gogledd)'!W17)</f>
        <v>15650.140405542723</v>
      </c>
      <c r="AE17" s="4">
        <f>IF('Rhaniad y Ddeiliadaeth (Cymru)'!$D$8="Amcangyfrifon LlC",'Incwm (Gogledd)'!F17,'Incwm (Gogledd)'!X17)</f>
        <v>15980.966607287923</v>
      </c>
      <c r="AF17" s="4">
        <f>IF('Rhaniad y Ddeiliadaeth (Cymru)'!$D$8="Amcangyfrifon LlC",'Incwm (Gogledd)'!G17,'Incwm (Gogledd)'!Y17)</f>
        <v>16385.100800642722</v>
      </c>
      <c r="AG17" s="4">
        <f>IF('Rhaniad y Ddeiliadaeth (Cymru)'!$D$8="Amcangyfrifon LlC",'Incwm (Gogledd)'!H17,'Incwm (Gogledd)'!Z17)</f>
        <v>16813.228655759638</v>
      </c>
    </row>
    <row r="18" spans="2:33" x14ac:dyDescent="0.25">
      <c r="B18" s="20">
        <v>24</v>
      </c>
      <c r="C18" s="56">
        <v>15137.5</v>
      </c>
      <c r="D18" s="57">
        <f>C18*(1+'Rhaniad y Ddeiliadaeth (Gog)'!C$109)+(C$44*(-(50-$B18)*('Rhaniad y Ddeiliadaeth (Gog)'!C$110/40)))</f>
        <v>15507.50232721702</v>
      </c>
      <c r="E18" s="57">
        <f>D18*(1+'Rhaniad y Ddeiliadaeth (Gog)'!D$109)+(D$44*(-(50-$B18)*('Rhaniad y Ddeiliadaeth (Gog)'!D$110/40)))</f>
        <v>15734.840485973324</v>
      </c>
      <c r="F18" s="57">
        <f>E18*(1+'Rhaniad y Ddeiliadaeth (Gog)'!E$109)+(E$44*(-(50-$B18)*('Rhaniad y Ddeiliadaeth (Gog)'!E$110/40)))</f>
        <v>16075.206051166504</v>
      </c>
      <c r="G18" s="57">
        <f>F18*(1+'Rhaniad y Ddeiliadaeth (Gog)'!F$109)+(F$44*(-(50-$B18)*('Rhaniad y Ddeiliadaeth (Gog)'!F$110/40)))</f>
        <v>16489.817919754645</v>
      </c>
      <c r="H18" s="58">
        <f>G18*(1+'Rhaniad y Ddeiliadaeth (Gog)'!G$109)+(G$44*(-(50-$B18)*('Rhaniad y Ddeiliadaeth (Gog)'!G$110/40)))</f>
        <v>16929.173226644165</v>
      </c>
      <c r="L18" s="62" t="str">
        <f t="shared" si="0"/>
        <v/>
      </c>
      <c r="M18" s="227"/>
      <c r="N18" s="36">
        <f t="shared" si="3"/>
        <v>1</v>
      </c>
      <c r="T18" s="1">
        <f t="shared" si="1"/>
        <v>24</v>
      </c>
      <c r="U18" s="4" t="str">
        <f t="shared" si="2"/>
        <v/>
      </c>
      <c r="V18" s="4" t="e">
        <f>IF($V$3=$M$3,M18,U18*(1+'Rhaniad y Ddeiliadaeth (Gog)'!C$109)+(U$44*(-(50-$T18)*('Rhaniad y Ddeiliadaeth (Gog)'!C$110/40))))</f>
        <v>#VALUE!</v>
      </c>
      <c r="W18" s="4" t="e">
        <f>V18*(1+'Rhaniad y Ddeiliadaeth (Gog)'!D$109)+(V$44*(-(50-$T18)*('Rhaniad y Ddeiliadaeth (Gog)'!D$110/40)))</f>
        <v>#VALUE!</v>
      </c>
      <c r="X18" s="4" t="e">
        <f>W18*(1+'Rhaniad y Ddeiliadaeth (Gog)'!E$109)+(W$44*(-(50-$T18)*('Rhaniad y Ddeiliadaeth (Gog)'!E$110/40)))</f>
        <v>#VALUE!</v>
      </c>
      <c r="Y18" s="4" t="e">
        <f>X18*(1+'Rhaniad y Ddeiliadaeth (Gog)'!F$109)+(X$44*(-(50-$T18)*('Rhaniad y Ddeiliadaeth (Gog)'!F$110/40)))</f>
        <v>#VALUE!</v>
      </c>
      <c r="Z18" s="4" t="e">
        <f>Y18*(1+'Rhaniad y Ddeiliadaeth (Gog)'!G$109)+(Y$44*(-(50-$T18)*('Rhaniad y Ddeiliadaeth (Gog)'!G$110/40)))</f>
        <v>#VALUE!</v>
      </c>
      <c r="AB18" s="1">
        <v>24</v>
      </c>
      <c r="AC18" s="4">
        <f>IF('Rhaniad y Ddeiliadaeth (Cymru)'!$D$8="Amcangyfrifon LlC",'Incwm (Gogledd)'!D18,'Incwm (Gogledd)'!V18)</f>
        <v>15507.50232721702</v>
      </c>
      <c r="AD18" s="4">
        <f>IF('Rhaniad y Ddeiliadaeth (Cymru)'!$D$8="Amcangyfrifon LlC",'Incwm (Gogledd)'!E18,'Incwm (Gogledd)'!W18)</f>
        <v>15734.840485973324</v>
      </c>
      <c r="AE18" s="4">
        <f>IF('Rhaniad y Ddeiliadaeth (Cymru)'!$D$8="Amcangyfrifon LlC",'Incwm (Gogledd)'!F18,'Incwm (Gogledd)'!X18)</f>
        <v>16075.206051166504</v>
      </c>
      <c r="AF18" s="4">
        <f>IF('Rhaniad y Ddeiliadaeth (Cymru)'!$D$8="Amcangyfrifon LlC",'Incwm (Gogledd)'!G18,'Incwm (Gogledd)'!Y18)</f>
        <v>16489.817919754645</v>
      </c>
      <c r="AG18" s="4">
        <f>IF('Rhaniad y Ddeiliadaeth (Cymru)'!$D$8="Amcangyfrifon LlC",'Incwm (Gogledd)'!H18,'Incwm (Gogledd)'!Z18)</f>
        <v>16929.173226644165</v>
      </c>
    </row>
    <row r="19" spans="2:33" x14ac:dyDescent="0.25">
      <c r="B19" s="20">
        <v>25</v>
      </c>
      <c r="C19" s="56">
        <v>15434.5</v>
      </c>
      <c r="D19" s="57">
        <f>C19*(1+'Rhaniad y Ddeiliadaeth (Gog)'!C$109)+(C$44*(-(50-$B19)*('Rhaniad y Ddeiliadaeth (Gog)'!C$110/40)))</f>
        <v>15821.375653926083</v>
      </c>
      <c r="E19" s="57">
        <f>D19*(1+'Rhaniad y Ddeiliadaeth (Gog)'!D$109)+(D$44*(-(50-$B19)*('Rhaniad y Ddeiliadaeth (Gog)'!D$110/40)))</f>
        <v>16063.375341963161</v>
      </c>
      <c r="F19" s="57">
        <f>E19*(1+'Rhaniad y Ddeiliadaeth (Gog)'!E$109)+(E$44*(-(50-$B19)*('Rhaniad y Ddeiliadaeth (Gog)'!E$110/40)))</f>
        <v>16421.278785563409</v>
      </c>
      <c r="G19" s="57">
        <f>F19*(1+'Rhaniad y Ddeiliadaeth (Gog)'!F$109)+(F$44*(-(50-$B19)*('Rhaniad y Ddeiliadaeth (Gog)'!F$110/40)))</f>
        <v>16855.707781667075</v>
      </c>
      <c r="H19" s="58">
        <f>G19*(1+'Rhaniad y Ddeiliadaeth (Gog)'!G$109)+(G$44*(-(50-$B19)*('Rhaniad y Ddeiliadaeth (Gog)'!G$110/40)))</f>
        <v>17316.231355524287</v>
      </c>
      <c r="L19" s="62" t="str">
        <f t="shared" si="0"/>
        <v/>
      </c>
      <c r="M19" s="227"/>
      <c r="N19" s="36">
        <f t="shared" si="3"/>
        <v>1</v>
      </c>
      <c r="T19" s="1">
        <f t="shared" si="1"/>
        <v>25</v>
      </c>
      <c r="U19" s="4" t="str">
        <f t="shared" si="2"/>
        <v/>
      </c>
      <c r="V19" s="4" t="e">
        <f>IF($V$3=$M$3,M19,U19*(1+'Rhaniad y Ddeiliadaeth (Gog)'!C$109)+(U$44*(-(50-$T19)*('Rhaniad y Ddeiliadaeth (Gog)'!C$110/40))))</f>
        <v>#VALUE!</v>
      </c>
      <c r="W19" s="4" t="e">
        <f>V19*(1+'Rhaniad y Ddeiliadaeth (Gog)'!D$109)+(V$44*(-(50-$T19)*('Rhaniad y Ddeiliadaeth (Gog)'!D$110/40)))</f>
        <v>#VALUE!</v>
      </c>
      <c r="X19" s="4" t="e">
        <f>W19*(1+'Rhaniad y Ddeiliadaeth (Gog)'!E$109)+(W$44*(-(50-$T19)*('Rhaniad y Ddeiliadaeth (Gog)'!E$110/40)))</f>
        <v>#VALUE!</v>
      </c>
      <c r="Y19" s="4" t="e">
        <f>X19*(1+'Rhaniad y Ddeiliadaeth (Gog)'!F$109)+(X$44*(-(50-$T19)*('Rhaniad y Ddeiliadaeth (Gog)'!F$110/40)))</f>
        <v>#VALUE!</v>
      </c>
      <c r="Z19" s="4" t="e">
        <f>Y19*(1+'Rhaniad y Ddeiliadaeth (Gog)'!G$109)+(Y$44*(-(50-$T19)*('Rhaniad y Ddeiliadaeth (Gog)'!G$110/40)))</f>
        <v>#VALUE!</v>
      </c>
      <c r="AB19" s="1">
        <v>25</v>
      </c>
      <c r="AC19" s="4">
        <f>IF('Rhaniad y Ddeiliadaeth (Cymru)'!$D$8="Amcangyfrifon LlC",'Incwm (Gogledd)'!D19,'Incwm (Gogledd)'!V19)</f>
        <v>15821.375653926083</v>
      </c>
      <c r="AD19" s="4">
        <f>IF('Rhaniad y Ddeiliadaeth (Cymru)'!$D$8="Amcangyfrifon LlC",'Incwm (Gogledd)'!E19,'Incwm (Gogledd)'!W19)</f>
        <v>16063.375341963161</v>
      </c>
      <c r="AE19" s="4">
        <f>IF('Rhaniad y Ddeiliadaeth (Cymru)'!$D$8="Amcangyfrifon LlC",'Incwm (Gogledd)'!F19,'Incwm (Gogledd)'!X19)</f>
        <v>16421.278785563409</v>
      </c>
      <c r="AF19" s="4">
        <f>IF('Rhaniad y Ddeiliadaeth (Cymru)'!$D$8="Amcangyfrifon LlC",'Incwm (Gogledd)'!G19,'Incwm (Gogledd)'!Y19)</f>
        <v>16855.707781667075</v>
      </c>
      <c r="AG19" s="4">
        <f>IF('Rhaniad y Ddeiliadaeth (Cymru)'!$D$8="Amcangyfrifon LlC",'Incwm (Gogledd)'!H19,'Incwm (Gogledd)'!Z19)</f>
        <v>17316.231355524287</v>
      </c>
    </row>
    <row r="20" spans="2:33" x14ac:dyDescent="0.25">
      <c r="B20" s="20">
        <v>26</v>
      </c>
      <c r="C20" s="56">
        <v>15709.6</v>
      </c>
      <c r="D20" s="57">
        <f>C20*(1+'Rhaniad y Ddeiliadaeth (Gog)'!C$109)+(C$44*(-(50-$B20)*('Rhaniad y Ddeiliadaeth (Gog)'!C$110/40)))</f>
        <v>16112.574216392963</v>
      </c>
      <c r="E20" s="57">
        <f>D20*(1+'Rhaniad y Ddeiliadaeth (Gog)'!D$109)+(D$44*(-(50-$B20)*('Rhaniad y Ddeiliadaeth (Gog)'!D$110/40)))</f>
        <v>16368.652438437548</v>
      </c>
      <c r="F20" s="57">
        <f>E20*(1+'Rhaniad y Ddeiliadaeth (Gog)'!E$109)+(E$44*(-(50-$B20)*('Rhaniad y Ddeiliadaeth (Gog)'!E$110/40)))</f>
        <v>16743.330835890836</v>
      </c>
      <c r="G20" s="57">
        <f>F20*(1+'Rhaniad y Ddeiliadaeth (Gog)'!F$109)+(F$44*(-(50-$B20)*('Rhaniad y Ddeiliadaeth (Gog)'!F$110/40)))</f>
        <v>17196.6861319622</v>
      </c>
      <c r="H20" s="58">
        <f>G20*(1+'Rhaniad y Ddeiliadaeth (Gog)'!G$109)+(G$44*(-(50-$B20)*('Rhaniad y Ddeiliadaeth (Gog)'!G$110/40)))</f>
        <v>17677.429785275031</v>
      </c>
      <c r="L20" s="62" t="str">
        <f t="shared" si="0"/>
        <v/>
      </c>
      <c r="M20" s="227"/>
      <c r="N20" s="36">
        <f t="shared" si="3"/>
        <v>1</v>
      </c>
      <c r="T20" s="1">
        <f t="shared" si="1"/>
        <v>26</v>
      </c>
      <c r="U20" s="4" t="str">
        <f t="shared" si="2"/>
        <v/>
      </c>
      <c r="V20" s="4" t="e">
        <f>IF($V$3=$M$3,M20,U20*(1+'Rhaniad y Ddeiliadaeth (Gog)'!C$109)+(U$44*(-(50-$T20)*('Rhaniad y Ddeiliadaeth (Gog)'!C$110/40))))</f>
        <v>#VALUE!</v>
      </c>
      <c r="W20" s="4" t="e">
        <f>V20*(1+'Rhaniad y Ddeiliadaeth (Gog)'!D$109)+(V$44*(-(50-$T20)*('Rhaniad y Ddeiliadaeth (Gog)'!D$110/40)))</f>
        <v>#VALUE!</v>
      </c>
      <c r="X20" s="4" t="e">
        <f>W20*(1+'Rhaniad y Ddeiliadaeth (Gog)'!E$109)+(W$44*(-(50-$T20)*('Rhaniad y Ddeiliadaeth (Gog)'!E$110/40)))</f>
        <v>#VALUE!</v>
      </c>
      <c r="Y20" s="4" t="e">
        <f>X20*(1+'Rhaniad y Ddeiliadaeth (Gog)'!F$109)+(X$44*(-(50-$T20)*('Rhaniad y Ddeiliadaeth (Gog)'!F$110/40)))</f>
        <v>#VALUE!</v>
      </c>
      <c r="Z20" s="4" t="e">
        <f>Y20*(1+'Rhaniad y Ddeiliadaeth (Gog)'!G$109)+(Y$44*(-(50-$T20)*('Rhaniad y Ddeiliadaeth (Gog)'!G$110/40)))</f>
        <v>#VALUE!</v>
      </c>
      <c r="AB20" s="1">
        <v>26</v>
      </c>
      <c r="AC20" s="4">
        <f>IF('Rhaniad y Ddeiliadaeth (Cymru)'!$D$8="Amcangyfrifon LlC",'Incwm (Gogledd)'!D20,'Incwm (Gogledd)'!V20)</f>
        <v>16112.574216392963</v>
      </c>
      <c r="AD20" s="4">
        <f>IF('Rhaniad y Ddeiliadaeth (Cymru)'!$D$8="Amcangyfrifon LlC",'Incwm (Gogledd)'!E20,'Incwm (Gogledd)'!W20)</f>
        <v>16368.652438437548</v>
      </c>
      <c r="AE20" s="4">
        <f>IF('Rhaniad y Ddeiliadaeth (Cymru)'!$D$8="Amcangyfrifon LlC",'Incwm (Gogledd)'!F20,'Incwm (Gogledd)'!X20)</f>
        <v>16743.330835890836</v>
      </c>
      <c r="AF20" s="4">
        <f>IF('Rhaniad y Ddeiliadaeth (Cymru)'!$D$8="Amcangyfrifon LlC",'Incwm (Gogledd)'!G20,'Incwm (Gogledd)'!Y20)</f>
        <v>17196.6861319622</v>
      </c>
      <c r="AG20" s="4">
        <f>IF('Rhaniad y Ddeiliadaeth (Cymru)'!$D$8="Amcangyfrifon LlC",'Incwm (Gogledd)'!H20,'Incwm (Gogledd)'!Z20)</f>
        <v>17677.429785275031</v>
      </c>
    </row>
    <row r="21" spans="2:33" x14ac:dyDescent="0.25">
      <c r="B21" s="20">
        <v>27</v>
      </c>
      <c r="C21" s="56">
        <v>16001.24</v>
      </c>
      <c r="D21" s="57">
        <f>C21*(1+'Rhaniad y Ddeiliadaeth (Gog)'!C$109)+(C$44*(-(50-$B21)*('Rhaniad y Ddeiliadaeth (Gog)'!C$110/40)))</f>
        <v>16420.897920438187</v>
      </c>
      <c r="E21" s="57">
        <f>D21*(1+'Rhaniad y Ddeiliadaeth (Gog)'!D$109)+(D$44*(-(50-$B21)*('Rhaniad y Ddeiliadaeth (Gog)'!D$110/40)))</f>
        <v>16691.494984335935</v>
      </c>
      <c r="F21" s="57">
        <f>E21*(1+'Rhaniad y Ddeiliadaeth (Gog)'!E$109)+(E$44*(-(50-$B21)*('Rhaniad y Ddeiliadaeth (Gog)'!E$110/40)))</f>
        <v>17083.524535282613</v>
      </c>
      <c r="G21" s="57">
        <f>F21*(1+'Rhaniad y Ddeiliadaeth (Gog)'!F$109)+(F$44*(-(50-$B21)*('Rhaniad y Ddeiliadaeth (Gog)'!F$110/40)))</f>
        <v>17556.478929844096</v>
      </c>
      <c r="H21" s="58">
        <f>G21*(1+'Rhaniad y Ddeiliadaeth (Gog)'!G$109)+(G$44*(-(50-$B21)*('Rhaniad y Ddeiliadaeth (Gog)'!G$110/40)))</f>
        <v>18058.158782313447</v>
      </c>
      <c r="L21" s="62" t="str">
        <f t="shared" si="0"/>
        <v/>
      </c>
      <c r="M21" s="227"/>
      <c r="N21" s="36">
        <f t="shared" si="3"/>
        <v>1</v>
      </c>
      <c r="T21" s="1">
        <f t="shared" si="1"/>
        <v>27</v>
      </c>
      <c r="U21" s="4" t="str">
        <f t="shared" si="2"/>
        <v/>
      </c>
      <c r="V21" s="4" t="e">
        <f>IF($V$3=$M$3,M21,U21*(1+'Rhaniad y Ddeiliadaeth (Gog)'!C$109)+(U$44*(-(50-$T21)*('Rhaniad y Ddeiliadaeth (Gog)'!C$110/40))))</f>
        <v>#VALUE!</v>
      </c>
      <c r="W21" s="4" t="e">
        <f>V21*(1+'Rhaniad y Ddeiliadaeth (Gog)'!D$109)+(V$44*(-(50-$T21)*('Rhaniad y Ddeiliadaeth (Gog)'!D$110/40)))</f>
        <v>#VALUE!</v>
      </c>
      <c r="X21" s="4" t="e">
        <f>W21*(1+'Rhaniad y Ddeiliadaeth (Gog)'!E$109)+(W$44*(-(50-$T21)*('Rhaniad y Ddeiliadaeth (Gog)'!E$110/40)))</f>
        <v>#VALUE!</v>
      </c>
      <c r="Y21" s="4" t="e">
        <f>X21*(1+'Rhaniad y Ddeiliadaeth (Gog)'!F$109)+(X$44*(-(50-$T21)*('Rhaniad y Ddeiliadaeth (Gog)'!F$110/40)))</f>
        <v>#VALUE!</v>
      </c>
      <c r="Z21" s="4" t="e">
        <f>Y21*(1+'Rhaniad y Ddeiliadaeth (Gog)'!G$109)+(Y$44*(-(50-$T21)*('Rhaniad y Ddeiliadaeth (Gog)'!G$110/40)))</f>
        <v>#VALUE!</v>
      </c>
      <c r="AB21" s="1">
        <v>27</v>
      </c>
      <c r="AC21" s="4">
        <f>IF('Rhaniad y Ddeiliadaeth (Cymru)'!$D$8="Amcangyfrifon LlC",'Incwm (Gogledd)'!D21,'Incwm (Gogledd)'!V21)</f>
        <v>16420.897920438187</v>
      </c>
      <c r="AD21" s="4">
        <f>IF('Rhaniad y Ddeiliadaeth (Cymru)'!$D$8="Amcangyfrifon LlC",'Incwm (Gogledd)'!E21,'Incwm (Gogledd)'!W21)</f>
        <v>16691.494984335935</v>
      </c>
      <c r="AE21" s="4">
        <f>IF('Rhaniad y Ddeiliadaeth (Cymru)'!$D$8="Amcangyfrifon LlC",'Incwm (Gogledd)'!F21,'Incwm (Gogledd)'!X21)</f>
        <v>17083.524535282613</v>
      </c>
      <c r="AF21" s="4">
        <f>IF('Rhaniad y Ddeiliadaeth (Cymru)'!$D$8="Amcangyfrifon LlC",'Incwm (Gogledd)'!G21,'Incwm (Gogledd)'!Y21)</f>
        <v>17556.478929844096</v>
      </c>
      <c r="AG21" s="4">
        <f>IF('Rhaniad y Ddeiliadaeth (Cymru)'!$D$8="Amcangyfrifon LlC",'Incwm (Gogledd)'!H21,'Incwm (Gogledd)'!Z21)</f>
        <v>18058.158782313447</v>
      </c>
    </row>
    <row r="22" spans="2:33" x14ac:dyDescent="0.25">
      <c r="B22" s="20">
        <v>28</v>
      </c>
      <c r="C22" s="56">
        <v>16387.5</v>
      </c>
      <c r="D22" s="57">
        <f>C22*(1+'Rhaniad y Ddeiliadaeth (Gog)'!C$109)+(C$44*(-(50-$B22)*('Rhaniad y Ddeiliadaeth (Gog)'!C$110/40)))</f>
        <v>16827.189030537997</v>
      </c>
      <c r="E22" s="57">
        <f>D22*(1+'Rhaniad y Ddeiliadaeth (Gog)'!D$109)+(D$44*(-(50-$B22)*('Rhaniad y Ddeiliadaeth (Gog)'!D$110/40)))</f>
        <v>17114.82379531888</v>
      </c>
      <c r="F22" s="57">
        <f>E22*(1+'Rhaniad y Ddeiliadaeth (Gog)'!E$109)+(E$44*(-(50-$B22)*('Rhaniad y Ddeiliadaeth (Gog)'!E$110/40)))</f>
        <v>17527.500751873184</v>
      </c>
      <c r="G22" s="57">
        <f>F22*(1+'Rhaniad y Ddeiliadaeth (Gog)'!F$109)+(F$44*(-(50-$B22)*('Rhaniad y Ddeiliadaeth (Gog)'!F$110/40)))</f>
        <v>18023.903108056056</v>
      </c>
      <c r="H22" s="58">
        <f>G22*(1+'Rhaniad y Ddeiliadaeth (Gog)'!G$109)+(G$44*(-(50-$B22)*('Rhaniad y Ddeiliadaeth (Gog)'!G$110/40)))</f>
        <v>18550.61584928889</v>
      </c>
      <c r="L22" s="62" t="str">
        <f t="shared" si="0"/>
        <v/>
      </c>
      <c r="M22" s="227"/>
      <c r="N22" s="36">
        <f t="shared" si="3"/>
        <v>1</v>
      </c>
      <c r="T22" s="1">
        <f t="shared" si="1"/>
        <v>28</v>
      </c>
      <c r="U22" s="4" t="str">
        <f t="shared" si="2"/>
        <v/>
      </c>
      <c r="V22" s="4" t="e">
        <f>IF($V$3=$M$3,M22,U22*(1+'Rhaniad y Ddeiliadaeth (Gog)'!C$109)+(U$44*(-(50-$T22)*('Rhaniad y Ddeiliadaeth (Gog)'!C$110/40))))</f>
        <v>#VALUE!</v>
      </c>
      <c r="W22" s="4" t="e">
        <f>V22*(1+'Rhaniad y Ddeiliadaeth (Gog)'!D$109)+(V$44*(-(50-$T22)*('Rhaniad y Ddeiliadaeth (Gog)'!D$110/40)))</f>
        <v>#VALUE!</v>
      </c>
      <c r="X22" s="4" t="e">
        <f>W22*(1+'Rhaniad y Ddeiliadaeth (Gog)'!E$109)+(W$44*(-(50-$T22)*('Rhaniad y Ddeiliadaeth (Gog)'!E$110/40)))</f>
        <v>#VALUE!</v>
      </c>
      <c r="Y22" s="4" t="e">
        <f>X22*(1+'Rhaniad y Ddeiliadaeth (Gog)'!F$109)+(X$44*(-(50-$T22)*('Rhaniad y Ddeiliadaeth (Gog)'!F$110/40)))</f>
        <v>#VALUE!</v>
      </c>
      <c r="Z22" s="4" t="e">
        <f>Y22*(1+'Rhaniad y Ddeiliadaeth (Gog)'!G$109)+(Y$44*(-(50-$T22)*('Rhaniad y Ddeiliadaeth (Gog)'!G$110/40)))</f>
        <v>#VALUE!</v>
      </c>
      <c r="AB22" s="1">
        <v>28</v>
      </c>
      <c r="AC22" s="4">
        <f>IF('Rhaniad y Ddeiliadaeth (Cymru)'!$D$8="Amcangyfrifon LlC",'Incwm (Gogledd)'!D22,'Incwm (Gogledd)'!V22)</f>
        <v>16827.189030537997</v>
      </c>
      <c r="AD22" s="4">
        <f>IF('Rhaniad y Ddeiliadaeth (Cymru)'!$D$8="Amcangyfrifon LlC",'Incwm (Gogledd)'!E22,'Incwm (Gogledd)'!W22)</f>
        <v>17114.82379531888</v>
      </c>
      <c r="AE22" s="4">
        <f>IF('Rhaniad y Ddeiliadaeth (Cymru)'!$D$8="Amcangyfrifon LlC",'Incwm (Gogledd)'!F22,'Incwm (Gogledd)'!X22)</f>
        <v>17527.500751873184</v>
      </c>
      <c r="AF22" s="4">
        <f>IF('Rhaniad y Ddeiliadaeth (Cymru)'!$D$8="Amcangyfrifon LlC",'Incwm (Gogledd)'!G22,'Incwm (Gogledd)'!Y22)</f>
        <v>18023.903108056056</v>
      </c>
      <c r="AG22" s="4">
        <f>IF('Rhaniad y Ddeiliadaeth (Cymru)'!$D$8="Amcangyfrifon LlC",'Incwm (Gogledd)'!H22,'Incwm (Gogledd)'!Z22)</f>
        <v>18550.61584928889</v>
      </c>
    </row>
    <row r="23" spans="2:33" x14ac:dyDescent="0.25">
      <c r="B23" s="20">
        <v>29</v>
      </c>
      <c r="C23" s="56">
        <v>16554.75</v>
      </c>
      <c r="D23" s="57">
        <f>C23*(1+'Rhaniad y Ddeiliadaeth (Gog)'!C$109)+(C$44*(-(50-$B23)*('Rhaniad y Ddeiliadaeth (Gog)'!C$110/40)))</f>
        <v>17006.722144442341</v>
      </c>
      <c r="E23" s="57">
        <f>D23*(1+'Rhaniad y Ddeiliadaeth (Gog)'!D$109)+(D$44*(-(50-$B23)*('Rhaniad y Ddeiliadaeth (Gog)'!D$110/40)))</f>
        <v>17305.564391165808</v>
      </c>
      <c r="F23" s="57">
        <f>E23*(1+'Rhaniad y Ddeiliadaeth (Gog)'!E$109)+(E$44*(-(50-$B23)*('Rhaniad y Ddeiliadaeth (Gog)'!E$110/40)))</f>
        <v>17731.259159420115</v>
      </c>
      <c r="G23" s="57">
        <f>F23*(1+'Rhaniad y Ddeiliadaeth (Gog)'!F$109)+(F$44*(-(50-$B23)*('Rhaniad y Ddeiliadaeth (Gog)'!F$110/40)))</f>
        <v>18242.200794975593</v>
      </c>
      <c r="H23" s="58">
        <f>G23*(1+'Rhaniad y Ddeiliadaeth (Gog)'!G$109)+(G$44*(-(50-$B23)*('Rhaniad y Ddeiliadaeth (Gog)'!G$110/40)))</f>
        <v>18784.464116888827</v>
      </c>
      <c r="L23" s="62" t="str">
        <f t="shared" si="0"/>
        <v/>
      </c>
      <c r="M23" s="227"/>
      <c r="N23" s="36">
        <f t="shared" si="3"/>
        <v>1</v>
      </c>
      <c r="T23" s="1">
        <f t="shared" si="1"/>
        <v>29</v>
      </c>
      <c r="U23" s="4" t="str">
        <f t="shared" si="2"/>
        <v/>
      </c>
      <c r="V23" s="4" t="e">
        <f>IF($V$3=$M$3,M23,U23*(1+'Rhaniad y Ddeiliadaeth (Gog)'!C$109)+(U$44*(-(50-$T23)*('Rhaniad y Ddeiliadaeth (Gog)'!C$110/40))))</f>
        <v>#VALUE!</v>
      </c>
      <c r="W23" s="4" t="e">
        <f>V23*(1+'Rhaniad y Ddeiliadaeth (Gog)'!D$109)+(V$44*(-(50-$T23)*('Rhaniad y Ddeiliadaeth (Gog)'!D$110/40)))</f>
        <v>#VALUE!</v>
      </c>
      <c r="X23" s="4" t="e">
        <f>W23*(1+'Rhaniad y Ddeiliadaeth (Gog)'!E$109)+(W$44*(-(50-$T23)*('Rhaniad y Ddeiliadaeth (Gog)'!E$110/40)))</f>
        <v>#VALUE!</v>
      </c>
      <c r="Y23" s="4" t="e">
        <f>X23*(1+'Rhaniad y Ddeiliadaeth (Gog)'!F$109)+(X$44*(-(50-$T23)*('Rhaniad y Ddeiliadaeth (Gog)'!F$110/40)))</f>
        <v>#VALUE!</v>
      </c>
      <c r="Z23" s="4" t="e">
        <f>Y23*(1+'Rhaniad y Ddeiliadaeth (Gog)'!G$109)+(Y$44*(-(50-$T23)*('Rhaniad y Ddeiliadaeth (Gog)'!G$110/40)))</f>
        <v>#VALUE!</v>
      </c>
      <c r="AB23" s="1">
        <v>29</v>
      </c>
      <c r="AC23" s="4">
        <f>IF('Rhaniad y Ddeiliadaeth (Cymru)'!$D$8="Amcangyfrifon LlC",'Incwm (Gogledd)'!D23,'Incwm (Gogledd)'!V23)</f>
        <v>17006.722144442341</v>
      </c>
      <c r="AD23" s="4">
        <f>IF('Rhaniad y Ddeiliadaeth (Cymru)'!$D$8="Amcangyfrifon LlC",'Incwm (Gogledd)'!E23,'Incwm (Gogledd)'!W23)</f>
        <v>17305.564391165808</v>
      </c>
      <c r="AE23" s="4">
        <f>IF('Rhaniad y Ddeiliadaeth (Cymru)'!$D$8="Amcangyfrifon LlC",'Incwm (Gogledd)'!F23,'Incwm (Gogledd)'!X23)</f>
        <v>17731.259159420115</v>
      </c>
      <c r="AF23" s="4">
        <f>IF('Rhaniad y Ddeiliadaeth (Cymru)'!$D$8="Amcangyfrifon LlC",'Incwm (Gogledd)'!G23,'Incwm (Gogledd)'!Y23)</f>
        <v>18242.200794975593</v>
      </c>
      <c r="AG23" s="4">
        <f>IF('Rhaniad y Ddeiliadaeth (Cymru)'!$D$8="Amcangyfrifon LlC",'Incwm (Gogledd)'!H23,'Incwm (Gogledd)'!Z23)</f>
        <v>18784.464116888827</v>
      </c>
    </row>
    <row r="24" spans="2:33" x14ac:dyDescent="0.25">
      <c r="B24" s="20">
        <v>30</v>
      </c>
      <c r="C24" s="56">
        <v>16908.75</v>
      </c>
      <c r="D24" s="57">
        <f>C24*(1+'Rhaniad y Ddeiliadaeth (Gog)'!C$109)+(C$44*(-(50-$B24)*('Rhaniad y Ddeiliadaeth (Gog)'!C$110/40)))</f>
        <v>17379.611980822843</v>
      </c>
      <c r="E24" s="57">
        <f>D24*(1+'Rhaniad y Ddeiliadaeth (Gog)'!D$109)+(D$44*(-(50-$B24)*('Rhaniad y Ddeiliadaeth (Gog)'!D$110/40)))</f>
        <v>17694.633141784903</v>
      </c>
      <c r="F24" s="57">
        <f>E24*(1+'Rhaniad y Ddeiliadaeth (Gog)'!E$109)+(E$44*(-(50-$B24)*('Rhaniad y Ddeiliadaeth (Gog)'!E$110/40)))</f>
        <v>18139.851482490998</v>
      </c>
      <c r="G24" s="57">
        <f>F24*(1+'Rhaniad y Ddeiliadaeth (Gog)'!F$109)+(F$44*(-(50-$B24)*('Rhaniad y Ddeiliadaeth (Gog)'!F$110/40)))</f>
        <v>18672.928837809755</v>
      </c>
      <c r="H24" s="58">
        <f>G24*(1+'Rhaniad y Ddeiliadaeth (Gog)'!G$109)+(G$44*(-(50-$B24)*('Rhaniad y Ddeiliadaeth (Gog)'!G$110/40)))</f>
        <v>19238.82831199608</v>
      </c>
      <c r="L24" s="62" t="str">
        <f t="shared" si="0"/>
        <v/>
      </c>
      <c r="M24" s="227"/>
      <c r="N24" s="36">
        <f t="shared" si="3"/>
        <v>1</v>
      </c>
      <c r="T24" s="1">
        <f t="shared" si="1"/>
        <v>30</v>
      </c>
      <c r="U24" s="4" t="str">
        <f t="shared" si="2"/>
        <v/>
      </c>
      <c r="V24" s="4" t="e">
        <f>IF($V$3=$M$3,M24,U24*(1+'Rhaniad y Ddeiliadaeth (Gog)'!C$109)+(U$44*(-(50-$T24)*('Rhaniad y Ddeiliadaeth (Gog)'!C$110/40))))</f>
        <v>#VALUE!</v>
      </c>
      <c r="W24" s="4" t="e">
        <f>V24*(1+'Rhaniad y Ddeiliadaeth (Gog)'!D$109)+(V$44*(-(50-$T24)*('Rhaniad y Ddeiliadaeth (Gog)'!D$110/40)))</f>
        <v>#VALUE!</v>
      </c>
      <c r="X24" s="4" t="e">
        <f>W24*(1+'Rhaniad y Ddeiliadaeth (Gog)'!E$109)+(W$44*(-(50-$T24)*('Rhaniad y Ddeiliadaeth (Gog)'!E$110/40)))</f>
        <v>#VALUE!</v>
      </c>
      <c r="Y24" s="4" t="e">
        <f>X24*(1+'Rhaniad y Ddeiliadaeth (Gog)'!F$109)+(X$44*(-(50-$T24)*('Rhaniad y Ddeiliadaeth (Gog)'!F$110/40)))</f>
        <v>#VALUE!</v>
      </c>
      <c r="Z24" s="4" t="e">
        <f>Y24*(1+'Rhaniad y Ddeiliadaeth (Gog)'!G$109)+(Y$44*(-(50-$T24)*('Rhaniad y Ddeiliadaeth (Gog)'!G$110/40)))</f>
        <v>#VALUE!</v>
      </c>
      <c r="AB24" s="1">
        <v>30</v>
      </c>
      <c r="AC24" s="4">
        <f>IF('Rhaniad y Ddeiliadaeth (Cymru)'!$D$8="Amcangyfrifon LlC",'Incwm (Gogledd)'!D24,'Incwm (Gogledd)'!V24)</f>
        <v>17379.611980822843</v>
      </c>
      <c r="AD24" s="4">
        <f>IF('Rhaniad y Ddeiliadaeth (Cymru)'!$D$8="Amcangyfrifon LlC",'Incwm (Gogledd)'!E24,'Incwm (Gogledd)'!W24)</f>
        <v>17694.633141784903</v>
      </c>
      <c r="AE24" s="4">
        <f>IF('Rhaniad y Ddeiliadaeth (Cymru)'!$D$8="Amcangyfrifon LlC",'Incwm (Gogledd)'!F24,'Incwm (Gogledd)'!X24)</f>
        <v>18139.851482490998</v>
      </c>
      <c r="AF24" s="4">
        <f>IF('Rhaniad y Ddeiliadaeth (Cymru)'!$D$8="Amcangyfrifon LlC",'Incwm (Gogledd)'!G24,'Incwm (Gogledd)'!Y24)</f>
        <v>18672.928837809755</v>
      </c>
      <c r="AG24" s="4">
        <f>IF('Rhaniad y Ddeiliadaeth (Cymru)'!$D$8="Amcangyfrifon LlC",'Incwm (Gogledd)'!H24,'Incwm (Gogledd)'!Z24)</f>
        <v>19238.82831199608</v>
      </c>
    </row>
    <row r="25" spans="2:33" x14ac:dyDescent="0.25">
      <c r="B25" s="20">
        <v>31</v>
      </c>
      <c r="C25" s="56">
        <v>17287.5</v>
      </c>
      <c r="D25" s="57">
        <f>C25*(1+'Rhaniad y Ddeiliadaeth (Gog)'!C$109)+(C$44*(-(50-$B25)*('Rhaniad y Ddeiliadaeth (Gog)'!C$110/40)))</f>
        <v>17778.127406929096</v>
      </c>
      <c r="E25" s="57">
        <f>D25*(1+'Rhaniad y Ddeiliadaeth (Gog)'!D$109)+(D$44*(-(50-$B25)*('Rhaniad y Ddeiliadaeth (Gog)'!D$110/40)))</f>
        <v>18109.986346650901</v>
      </c>
      <c r="F25" s="57">
        <f>E25*(1+'Rhaniad y Ddeiliadaeth (Gog)'!E$109)+(E$44*(-(50-$B25)*('Rhaniad y Ddeiliadaeth (Gog)'!E$110/40)))</f>
        <v>18575.590469065042</v>
      </c>
      <c r="G25" s="57">
        <f>F25*(1+'Rhaniad y Ddeiliadaeth (Gog)'!F$109)+(F$44*(-(50-$B25)*('Rhaniad y Ddeiliadaeth (Gog)'!F$110/40)))</f>
        <v>19131.810301307283</v>
      </c>
      <c r="H25" s="58">
        <f>G25*(1+'Rhaniad y Ddeiliadaeth (Gog)'!G$109)+(G$44*(-(50-$B25)*('Rhaniad y Ddeiliadaeth (Gog)'!G$110/40)))</f>
        <v>19722.417509544048</v>
      </c>
      <c r="L25" s="62" t="str">
        <f t="shared" si="0"/>
        <v/>
      </c>
      <c r="M25" s="227"/>
      <c r="N25" s="36">
        <f t="shared" si="3"/>
        <v>1</v>
      </c>
      <c r="T25" s="1">
        <f t="shared" si="1"/>
        <v>31</v>
      </c>
      <c r="U25" s="4" t="str">
        <f t="shared" si="2"/>
        <v/>
      </c>
      <c r="V25" s="4" t="e">
        <f>IF($V$3=$M$3,M25,U25*(1+'Rhaniad y Ddeiliadaeth (Gog)'!C$109)+(U$44*(-(50-$T25)*('Rhaniad y Ddeiliadaeth (Gog)'!C$110/40))))</f>
        <v>#VALUE!</v>
      </c>
      <c r="W25" s="4" t="e">
        <f>V25*(1+'Rhaniad y Ddeiliadaeth (Gog)'!D$109)+(V$44*(-(50-$T25)*('Rhaniad y Ddeiliadaeth (Gog)'!D$110/40)))</f>
        <v>#VALUE!</v>
      </c>
      <c r="X25" s="4" t="e">
        <f>W25*(1+'Rhaniad y Ddeiliadaeth (Gog)'!E$109)+(W$44*(-(50-$T25)*('Rhaniad y Ddeiliadaeth (Gog)'!E$110/40)))</f>
        <v>#VALUE!</v>
      </c>
      <c r="Y25" s="4" t="e">
        <f>X25*(1+'Rhaniad y Ddeiliadaeth (Gog)'!F$109)+(X$44*(-(50-$T25)*('Rhaniad y Ddeiliadaeth (Gog)'!F$110/40)))</f>
        <v>#VALUE!</v>
      </c>
      <c r="Z25" s="4" t="e">
        <f>Y25*(1+'Rhaniad y Ddeiliadaeth (Gog)'!G$109)+(Y$44*(-(50-$T25)*('Rhaniad y Ddeiliadaeth (Gog)'!G$110/40)))</f>
        <v>#VALUE!</v>
      </c>
      <c r="AB25" s="1">
        <v>31</v>
      </c>
      <c r="AC25" s="4">
        <f>IF('Rhaniad y Ddeiliadaeth (Cymru)'!$D$8="Amcangyfrifon LlC",'Incwm (Gogledd)'!D25,'Incwm (Gogledd)'!V25)</f>
        <v>17778.127406929096</v>
      </c>
      <c r="AD25" s="4">
        <f>IF('Rhaniad y Ddeiliadaeth (Cymru)'!$D$8="Amcangyfrifon LlC",'Incwm (Gogledd)'!E25,'Incwm (Gogledd)'!W25)</f>
        <v>18109.986346650901</v>
      </c>
      <c r="AE25" s="4">
        <f>IF('Rhaniad y Ddeiliadaeth (Cymru)'!$D$8="Amcangyfrifon LlC",'Incwm (Gogledd)'!F25,'Incwm (Gogledd)'!X25)</f>
        <v>18575.590469065042</v>
      </c>
      <c r="AF25" s="4">
        <f>IF('Rhaniad y Ddeiliadaeth (Cymru)'!$D$8="Amcangyfrifon LlC",'Incwm (Gogledd)'!G25,'Incwm (Gogledd)'!Y25)</f>
        <v>19131.810301307283</v>
      </c>
      <c r="AG25" s="4">
        <f>IF('Rhaniad y Ddeiliadaeth (Cymru)'!$D$8="Amcangyfrifon LlC",'Incwm (Gogledd)'!H25,'Incwm (Gogledd)'!Z25)</f>
        <v>19722.417509544048</v>
      </c>
    </row>
    <row r="26" spans="2:33" x14ac:dyDescent="0.25">
      <c r="B26" s="20">
        <v>32</v>
      </c>
      <c r="C26" s="56">
        <v>17527</v>
      </c>
      <c r="D26" s="57">
        <f>C26*(1+'Rhaniad y Ddeiliadaeth (Gog)'!C$109)+(C$44*(-(50-$B26)*('Rhaniad y Ddeiliadaeth (Gog)'!C$110/40)))</f>
        <v>18032.466535285399</v>
      </c>
      <c r="E26" s="57">
        <f>D26*(1+'Rhaniad y Ddeiliadaeth (Gog)'!D$109)+(D$44*(-(50-$B26)*('Rhaniad y Ddeiliadaeth (Gog)'!D$110/40)))</f>
        <v>18377.456308935794</v>
      </c>
      <c r="F26" s="57">
        <f>E26*(1+'Rhaniad y Ddeiliadaeth (Gog)'!E$109)+(E$44*(-(50-$B26)*('Rhaniad y Ddeiliadaeth (Gog)'!E$110/40)))</f>
        <v>18858.595197343471</v>
      </c>
      <c r="G26" s="57">
        <f>F26*(1+'Rhaniad y Ddeiliadaeth (Gog)'!F$109)+(F$44*(-(50-$B26)*('Rhaniad y Ddeiliadaeth (Gog)'!F$110/40)))</f>
        <v>19432.29322632499</v>
      </c>
      <c r="H26" s="58">
        <f>G26*(1+'Rhaniad y Ddeiliadaeth (Gog)'!G$109)+(G$44*(-(50-$B26)*('Rhaniad y Ddeiliadaeth (Gog)'!G$110/40)))</f>
        <v>20041.579168107331</v>
      </c>
      <c r="L26" s="62" t="str">
        <f t="shared" si="0"/>
        <v/>
      </c>
      <c r="M26" s="227"/>
      <c r="N26" s="36">
        <f t="shared" si="3"/>
        <v>1</v>
      </c>
      <c r="T26" s="1">
        <f t="shared" si="1"/>
        <v>32</v>
      </c>
      <c r="U26" s="4" t="str">
        <f t="shared" si="2"/>
        <v/>
      </c>
      <c r="V26" s="4" t="e">
        <f>IF($V$3=$M$3,M26,U26*(1+'Rhaniad y Ddeiliadaeth (Gog)'!C$109)+(U$44*(-(50-$T26)*('Rhaniad y Ddeiliadaeth (Gog)'!C$110/40))))</f>
        <v>#VALUE!</v>
      </c>
      <c r="W26" s="4" t="e">
        <f>V26*(1+'Rhaniad y Ddeiliadaeth (Gog)'!D$109)+(V$44*(-(50-$T26)*('Rhaniad y Ddeiliadaeth (Gog)'!D$110/40)))</f>
        <v>#VALUE!</v>
      </c>
      <c r="X26" s="4" t="e">
        <f>W26*(1+'Rhaniad y Ddeiliadaeth (Gog)'!E$109)+(W$44*(-(50-$T26)*('Rhaniad y Ddeiliadaeth (Gog)'!E$110/40)))</f>
        <v>#VALUE!</v>
      </c>
      <c r="Y26" s="4" t="e">
        <f>X26*(1+'Rhaniad y Ddeiliadaeth (Gog)'!F$109)+(X$44*(-(50-$T26)*('Rhaniad y Ddeiliadaeth (Gog)'!F$110/40)))</f>
        <v>#VALUE!</v>
      </c>
      <c r="Z26" s="4" t="e">
        <f>Y26*(1+'Rhaniad y Ddeiliadaeth (Gog)'!G$109)+(Y$44*(-(50-$T26)*('Rhaniad y Ddeiliadaeth (Gog)'!G$110/40)))</f>
        <v>#VALUE!</v>
      </c>
      <c r="AB26" s="1">
        <v>32</v>
      </c>
      <c r="AC26" s="4">
        <f>IF('Rhaniad y Ddeiliadaeth (Cymru)'!$D$8="Amcangyfrifon LlC",'Incwm (Gogledd)'!D26,'Incwm (Gogledd)'!V26)</f>
        <v>18032.466535285399</v>
      </c>
      <c r="AD26" s="4">
        <f>IF('Rhaniad y Ddeiliadaeth (Cymru)'!$D$8="Amcangyfrifon LlC",'Incwm (Gogledd)'!E26,'Incwm (Gogledd)'!W26)</f>
        <v>18377.456308935794</v>
      </c>
      <c r="AE26" s="4">
        <f>IF('Rhaniad y Ddeiliadaeth (Cymru)'!$D$8="Amcangyfrifon LlC",'Incwm (Gogledd)'!F26,'Incwm (Gogledd)'!X26)</f>
        <v>18858.595197343471</v>
      </c>
      <c r="AF26" s="4">
        <f>IF('Rhaniad y Ddeiliadaeth (Cymru)'!$D$8="Amcangyfrifon LlC",'Incwm (Gogledd)'!G26,'Incwm (Gogledd)'!Y26)</f>
        <v>19432.29322632499</v>
      </c>
      <c r="AG26" s="4">
        <f>IF('Rhaniad y Ddeiliadaeth (Cymru)'!$D$8="Amcangyfrifon LlC",'Incwm (Gogledd)'!H26,'Incwm (Gogledd)'!Z26)</f>
        <v>20041.579168107331</v>
      </c>
    </row>
    <row r="27" spans="2:33" x14ac:dyDescent="0.25">
      <c r="B27" s="20">
        <v>33</v>
      </c>
      <c r="C27" s="56">
        <v>17864</v>
      </c>
      <c r="D27" s="57">
        <f>C27*(1+'Rhaniad y Ddeiliadaeth (Gog)'!C$109)+(C$44*(-(50-$B27)*('Rhaniad y Ddeiliadaeth (Gog)'!C$110/40)))</f>
        <v>18387.754956500732</v>
      </c>
      <c r="E27" s="57">
        <f>D27*(1+'Rhaniad y Ddeiliadaeth (Gog)'!D$109)+(D$44*(-(50-$B27)*('Rhaniad y Ddeiliadaeth (Gog)'!D$110/40)))</f>
        <v>18748.471090981249</v>
      </c>
      <c r="F27" s="57">
        <f>E27*(1+'Rhaniad y Ddeiliadaeth (Gog)'!E$109)+(E$44*(-(50-$B27)*('Rhaniad y Ddeiliadaeth (Gog)'!E$110/40)))</f>
        <v>19248.541327301056</v>
      </c>
      <c r="G27" s="57">
        <f>F27*(1+'Rhaniad y Ddeiliadaeth (Gog)'!F$109)+(F$44*(-(50-$B27)*('Rhaniad y Ddeiliadaeth (Gog)'!F$110/40)))</f>
        <v>19843.683566077219</v>
      </c>
      <c r="H27" s="58">
        <f>G27*(1+'Rhaniad y Ddeiliadaeth (Gog)'!G$109)+(G$44*(-(50-$B27)*('Rhaniad y Ddeiliadaeth (Gog)'!G$110/40)))</f>
        <v>20475.869624164377</v>
      </c>
      <c r="L27" s="62" t="str">
        <f t="shared" si="0"/>
        <v/>
      </c>
      <c r="M27" s="227"/>
      <c r="N27" s="36">
        <f t="shared" si="3"/>
        <v>1</v>
      </c>
      <c r="T27" s="1">
        <f t="shared" si="1"/>
        <v>33</v>
      </c>
      <c r="U27" s="4" t="str">
        <f t="shared" si="2"/>
        <v/>
      </c>
      <c r="V27" s="4" t="e">
        <f>IF($V$3=$M$3,M27,U27*(1+'Rhaniad y Ddeiliadaeth (Gog)'!C$109)+(U$44*(-(50-$T27)*('Rhaniad y Ddeiliadaeth (Gog)'!C$110/40))))</f>
        <v>#VALUE!</v>
      </c>
      <c r="W27" s="4" t="e">
        <f>V27*(1+'Rhaniad y Ddeiliadaeth (Gog)'!D$109)+(V$44*(-(50-$T27)*('Rhaniad y Ddeiliadaeth (Gog)'!D$110/40)))</f>
        <v>#VALUE!</v>
      </c>
      <c r="X27" s="4" t="e">
        <f>W27*(1+'Rhaniad y Ddeiliadaeth (Gog)'!E$109)+(W$44*(-(50-$T27)*('Rhaniad y Ddeiliadaeth (Gog)'!E$110/40)))</f>
        <v>#VALUE!</v>
      </c>
      <c r="Y27" s="4" t="e">
        <f>X27*(1+'Rhaniad y Ddeiliadaeth (Gog)'!F$109)+(X$44*(-(50-$T27)*('Rhaniad y Ddeiliadaeth (Gog)'!F$110/40)))</f>
        <v>#VALUE!</v>
      </c>
      <c r="Z27" s="4" t="e">
        <f>Y27*(1+'Rhaniad y Ddeiliadaeth (Gog)'!G$109)+(Y$44*(-(50-$T27)*('Rhaniad y Ddeiliadaeth (Gog)'!G$110/40)))</f>
        <v>#VALUE!</v>
      </c>
      <c r="AB27" s="1">
        <v>33</v>
      </c>
      <c r="AC27" s="4">
        <f>IF('Rhaniad y Ddeiliadaeth (Cymru)'!$D$8="Amcangyfrifon LlC",'Incwm (Gogledd)'!D27,'Incwm (Gogledd)'!V27)</f>
        <v>18387.754956500732</v>
      </c>
      <c r="AD27" s="4">
        <f>IF('Rhaniad y Ddeiliadaeth (Cymru)'!$D$8="Amcangyfrifon LlC",'Incwm (Gogledd)'!E27,'Incwm (Gogledd)'!W27)</f>
        <v>18748.471090981249</v>
      </c>
      <c r="AE27" s="4">
        <f>IF('Rhaniad y Ddeiliadaeth (Cymru)'!$D$8="Amcangyfrifon LlC",'Incwm (Gogledd)'!F27,'Incwm (Gogledd)'!X27)</f>
        <v>19248.541327301056</v>
      </c>
      <c r="AF27" s="4">
        <f>IF('Rhaniad y Ddeiliadaeth (Cymru)'!$D$8="Amcangyfrifon LlC",'Incwm (Gogledd)'!G27,'Incwm (Gogledd)'!Y27)</f>
        <v>19843.683566077219</v>
      </c>
      <c r="AG27" s="4">
        <f>IF('Rhaniad y Ddeiliadaeth (Cymru)'!$D$8="Amcangyfrifon LlC",'Incwm (Gogledd)'!H27,'Incwm (Gogledd)'!Z27)</f>
        <v>20475.869624164377</v>
      </c>
    </row>
    <row r="28" spans="2:33" x14ac:dyDescent="0.25">
      <c r="B28" s="20">
        <v>34</v>
      </c>
      <c r="C28" s="56">
        <v>18328.900000000001</v>
      </c>
      <c r="D28" s="57">
        <f>C28*(1+'Rhaniad y Ddeiliadaeth (Gog)'!C$109)+(C$44*(-(50-$B28)*('Rhaniad y Ddeiliadaeth (Gog)'!C$110/40)))</f>
        <v>18875.46814239987</v>
      </c>
      <c r="E28" s="57">
        <f>D28*(1+'Rhaniad y Ddeiliadaeth (Gog)'!D$109)+(D$44*(-(50-$B28)*('Rhaniad y Ddeiliadaeth (Gog)'!D$110/40)))</f>
        <v>19255.315436589535</v>
      </c>
      <c r="F28" s="57">
        <f>E28*(1+'Rhaniad y Ddeiliadaeth (Gog)'!E$109)+(E$44*(-(50-$B28)*('Rhaniad y Ddeiliadaeth (Gog)'!E$110/40)))</f>
        <v>19778.772639563926</v>
      </c>
      <c r="G28" s="57">
        <f>F28*(1+'Rhaniad y Ddeiliadaeth (Gog)'!F$109)+(F$44*(-(50-$B28)*('Rhaniad y Ddeiliadaeth (Gog)'!F$110/40)))</f>
        <v>20400.561683722241</v>
      </c>
      <c r="H28" s="58">
        <f>G28*(1+'Rhaniad y Ddeiliadaeth (Gog)'!G$109)+(G$44*(-(50-$B28)*('Rhaniad y Ddeiliadaeth (Gog)'!G$110/40)))</f>
        <v>21061.185446369669</v>
      </c>
      <c r="L28" s="62" t="str">
        <f t="shared" si="0"/>
        <v/>
      </c>
      <c r="M28" s="227"/>
      <c r="N28" s="36">
        <f t="shared" si="3"/>
        <v>1</v>
      </c>
      <c r="T28" s="1">
        <f t="shared" si="1"/>
        <v>34</v>
      </c>
      <c r="U28" s="4" t="str">
        <f t="shared" si="2"/>
        <v/>
      </c>
      <c r="V28" s="4" t="e">
        <f>IF($V$3=$M$3,M28,U28*(1+'Rhaniad y Ddeiliadaeth (Gog)'!C$109)+(U$44*(-(50-$T28)*('Rhaniad y Ddeiliadaeth (Gog)'!C$110/40))))</f>
        <v>#VALUE!</v>
      </c>
      <c r="W28" s="4" t="e">
        <f>V28*(1+'Rhaniad y Ddeiliadaeth (Gog)'!D$109)+(V$44*(-(50-$T28)*('Rhaniad y Ddeiliadaeth (Gog)'!D$110/40)))</f>
        <v>#VALUE!</v>
      </c>
      <c r="X28" s="4" t="e">
        <f>W28*(1+'Rhaniad y Ddeiliadaeth (Gog)'!E$109)+(W$44*(-(50-$T28)*('Rhaniad y Ddeiliadaeth (Gog)'!E$110/40)))</f>
        <v>#VALUE!</v>
      </c>
      <c r="Y28" s="4" t="e">
        <f>X28*(1+'Rhaniad y Ddeiliadaeth (Gog)'!F$109)+(X$44*(-(50-$T28)*('Rhaniad y Ddeiliadaeth (Gog)'!F$110/40)))</f>
        <v>#VALUE!</v>
      </c>
      <c r="Z28" s="4" t="e">
        <f>Y28*(1+'Rhaniad y Ddeiliadaeth (Gog)'!G$109)+(Y$44*(-(50-$T28)*('Rhaniad y Ddeiliadaeth (Gog)'!G$110/40)))</f>
        <v>#VALUE!</v>
      </c>
      <c r="AB28" s="1">
        <v>34</v>
      </c>
      <c r="AC28" s="4">
        <f>IF('Rhaniad y Ddeiliadaeth (Cymru)'!$D$8="Amcangyfrifon LlC",'Incwm (Gogledd)'!D28,'Incwm (Gogledd)'!V28)</f>
        <v>18875.46814239987</v>
      </c>
      <c r="AD28" s="4">
        <f>IF('Rhaniad y Ddeiliadaeth (Cymru)'!$D$8="Amcangyfrifon LlC",'Incwm (Gogledd)'!E28,'Incwm (Gogledd)'!W28)</f>
        <v>19255.315436589535</v>
      </c>
      <c r="AE28" s="4">
        <f>IF('Rhaniad y Ddeiliadaeth (Cymru)'!$D$8="Amcangyfrifon LlC",'Incwm (Gogledd)'!F28,'Incwm (Gogledd)'!X28)</f>
        <v>19778.772639563926</v>
      </c>
      <c r="AF28" s="4">
        <f>IF('Rhaniad y Ddeiliadaeth (Cymru)'!$D$8="Amcangyfrifon LlC",'Incwm (Gogledd)'!G28,'Incwm (Gogledd)'!Y28)</f>
        <v>20400.561683722241</v>
      </c>
      <c r="AG28" s="4">
        <f>IF('Rhaniad y Ddeiliadaeth (Cymru)'!$D$8="Amcangyfrifon LlC",'Incwm (Gogledd)'!H28,'Incwm (Gogledd)'!Z28)</f>
        <v>21061.185446369669</v>
      </c>
    </row>
    <row r="29" spans="2:33" x14ac:dyDescent="0.25">
      <c r="B29" s="20">
        <v>35</v>
      </c>
      <c r="C29" s="56">
        <v>18842.599999999999</v>
      </c>
      <c r="D29" s="57">
        <f>C29*(1+'Rhaniad y Ddeiliadaeth (Gog)'!C$109)+(C$44*(-(50-$B29)*('Rhaniad y Ddeiliadaeth (Gog)'!C$110/40)))</f>
        <v>19413.707743596657</v>
      </c>
      <c r="E29" s="57">
        <f>D29*(1+'Rhaniad y Ddeiliadaeth (Gog)'!D$109)+(D$44*(-(50-$B29)*('Rhaniad y Ddeiliadaeth (Gog)'!D$110/40)))</f>
        <v>19813.985291985675</v>
      </c>
      <c r="F29" s="57">
        <f>E29*(1+'Rhaniad y Ddeiliadaeth (Gog)'!E$109)+(E$44*(-(50-$B29)*('Rhaniad y Ddeiliadaeth (Gog)'!E$110/40)))</f>
        <v>20362.529494410835</v>
      </c>
      <c r="G29" s="57">
        <f>F29*(1+'Rhaniad y Ddeiliadaeth (Gog)'!F$109)+(F$44*(-(50-$B29)*('Rhaniad y Ddeiliadaeth (Gog)'!F$110/40)))</f>
        <v>21012.950384331838</v>
      </c>
      <c r="H29" s="58">
        <f>G29*(1+'Rhaniad y Ddeiliadaeth (Gog)'!G$109)+(G$44*(-(50-$B29)*('Rhaniad y Ddeiliadaeth (Gog)'!G$110/40)))</f>
        <v>21704.124707730829</v>
      </c>
      <c r="L29" s="62" t="str">
        <f t="shared" si="0"/>
        <v/>
      </c>
      <c r="M29" s="227"/>
      <c r="N29" s="36">
        <f t="shared" si="3"/>
        <v>1</v>
      </c>
      <c r="T29" s="1">
        <f t="shared" si="1"/>
        <v>35</v>
      </c>
      <c r="U29" s="4" t="str">
        <f t="shared" si="2"/>
        <v/>
      </c>
      <c r="V29" s="4" t="e">
        <f>IF($V$3=$M$3,M29,U29*(1+'Rhaniad y Ddeiliadaeth (Gog)'!C$109)+(U$44*(-(50-$T29)*('Rhaniad y Ddeiliadaeth (Gog)'!C$110/40))))</f>
        <v>#VALUE!</v>
      </c>
      <c r="W29" s="4" t="e">
        <f>V29*(1+'Rhaniad y Ddeiliadaeth (Gog)'!D$109)+(V$44*(-(50-$T29)*('Rhaniad y Ddeiliadaeth (Gog)'!D$110/40)))</f>
        <v>#VALUE!</v>
      </c>
      <c r="X29" s="4" t="e">
        <f>W29*(1+'Rhaniad y Ddeiliadaeth (Gog)'!E$109)+(W$44*(-(50-$T29)*('Rhaniad y Ddeiliadaeth (Gog)'!E$110/40)))</f>
        <v>#VALUE!</v>
      </c>
      <c r="Y29" s="4" t="e">
        <f>X29*(1+'Rhaniad y Ddeiliadaeth (Gog)'!F$109)+(X$44*(-(50-$T29)*('Rhaniad y Ddeiliadaeth (Gog)'!F$110/40)))</f>
        <v>#VALUE!</v>
      </c>
      <c r="Z29" s="4" t="e">
        <f>Y29*(1+'Rhaniad y Ddeiliadaeth (Gog)'!G$109)+(Y$44*(-(50-$T29)*('Rhaniad y Ddeiliadaeth (Gog)'!G$110/40)))</f>
        <v>#VALUE!</v>
      </c>
      <c r="AB29" s="1">
        <v>35</v>
      </c>
      <c r="AC29" s="4">
        <f>IF('Rhaniad y Ddeiliadaeth (Cymru)'!$D$8="Amcangyfrifon LlC",'Incwm (Gogledd)'!D29,'Incwm (Gogledd)'!V29)</f>
        <v>19413.707743596657</v>
      </c>
      <c r="AD29" s="4">
        <f>IF('Rhaniad y Ddeiliadaeth (Cymru)'!$D$8="Amcangyfrifon LlC",'Incwm (Gogledd)'!E29,'Incwm (Gogledd)'!W29)</f>
        <v>19813.985291985675</v>
      </c>
      <c r="AE29" s="4">
        <f>IF('Rhaniad y Ddeiliadaeth (Cymru)'!$D$8="Amcangyfrifon LlC",'Incwm (Gogledd)'!F29,'Incwm (Gogledd)'!X29)</f>
        <v>20362.529494410835</v>
      </c>
      <c r="AF29" s="4">
        <f>IF('Rhaniad y Ddeiliadaeth (Cymru)'!$D$8="Amcangyfrifon LlC",'Incwm (Gogledd)'!G29,'Incwm (Gogledd)'!Y29)</f>
        <v>21012.950384331838</v>
      </c>
      <c r="AG29" s="4">
        <f>IF('Rhaniad y Ddeiliadaeth (Cymru)'!$D$8="Amcangyfrifon LlC",'Incwm (Gogledd)'!H29,'Incwm (Gogledd)'!Z29)</f>
        <v>21704.124707730829</v>
      </c>
    </row>
    <row r="30" spans="2:33" x14ac:dyDescent="0.25">
      <c r="B30" s="20">
        <v>36</v>
      </c>
      <c r="C30" s="56">
        <v>19291</v>
      </c>
      <c r="D30" s="57">
        <f>C30*(1+'Rhaniad y Ddeiliadaeth (Gog)'!C$109)+(C$44*(-(50-$B30)*('Rhaniad y Ddeiliadaeth (Gog)'!C$110/40)))</f>
        <v>19884.337203011961</v>
      </c>
      <c r="E30" s="57">
        <f>D30*(1+'Rhaniad y Ddeiliadaeth (Gog)'!D$109)+(D$44*(-(50-$B30)*('Rhaniad y Ddeiliadaeth (Gog)'!D$110/40)))</f>
        <v>20303.306668096022</v>
      </c>
      <c r="F30" s="57">
        <f>E30*(1+'Rhaniad y Ddeiliadaeth (Gog)'!E$109)+(E$44*(-(50-$B30)*('Rhaniad y Ddeiliadaeth (Gog)'!E$110/40)))</f>
        <v>20874.663031004926</v>
      </c>
      <c r="G30" s="57">
        <f>F30*(1+'Rhaniad y Ddeiliadaeth (Gog)'!F$109)+(F$44*(-(50-$B30)*('Rhaniad y Ddeiliadaeth (Gog)'!F$110/40)))</f>
        <v>21551.059554867938</v>
      </c>
      <c r="H30" s="58">
        <f>G30*(1+'Rhaniad y Ddeiliadaeth (Gog)'!G$109)+(G$44*(-(50-$B30)*('Rhaniad y Ddeiliadaeth (Gog)'!G$110/40)))</f>
        <v>22269.957194975632</v>
      </c>
      <c r="L30" s="62" t="str">
        <f t="shared" si="0"/>
        <v/>
      </c>
      <c r="M30" s="227"/>
      <c r="N30" s="36">
        <f t="shared" si="3"/>
        <v>1</v>
      </c>
      <c r="T30" s="1">
        <f t="shared" si="1"/>
        <v>36</v>
      </c>
      <c r="U30" s="4" t="str">
        <f t="shared" si="2"/>
        <v/>
      </c>
      <c r="V30" s="4" t="e">
        <f>IF($V$3=$M$3,M30,U30*(1+'Rhaniad y Ddeiliadaeth (Gog)'!C$109)+(U$44*(-(50-$T30)*('Rhaniad y Ddeiliadaeth (Gog)'!C$110/40))))</f>
        <v>#VALUE!</v>
      </c>
      <c r="W30" s="4" t="e">
        <f>V30*(1+'Rhaniad y Ddeiliadaeth (Gog)'!D$109)+(V$44*(-(50-$T30)*('Rhaniad y Ddeiliadaeth (Gog)'!D$110/40)))</f>
        <v>#VALUE!</v>
      </c>
      <c r="X30" s="4" t="e">
        <f>W30*(1+'Rhaniad y Ddeiliadaeth (Gog)'!E$109)+(W$44*(-(50-$T30)*('Rhaniad y Ddeiliadaeth (Gog)'!E$110/40)))</f>
        <v>#VALUE!</v>
      </c>
      <c r="Y30" s="4" t="e">
        <f>X30*(1+'Rhaniad y Ddeiliadaeth (Gog)'!F$109)+(X$44*(-(50-$T30)*('Rhaniad y Ddeiliadaeth (Gog)'!F$110/40)))</f>
        <v>#VALUE!</v>
      </c>
      <c r="Z30" s="4" t="e">
        <f>Y30*(1+'Rhaniad y Ddeiliadaeth (Gog)'!G$109)+(Y$44*(-(50-$T30)*('Rhaniad y Ddeiliadaeth (Gog)'!G$110/40)))</f>
        <v>#VALUE!</v>
      </c>
      <c r="AB30" s="1">
        <v>36</v>
      </c>
      <c r="AC30" s="4">
        <f>IF('Rhaniad y Ddeiliadaeth (Cymru)'!$D$8="Amcangyfrifon LlC",'Incwm (Gogledd)'!D30,'Incwm (Gogledd)'!V30)</f>
        <v>19884.337203011961</v>
      </c>
      <c r="AD30" s="4">
        <f>IF('Rhaniad y Ddeiliadaeth (Cymru)'!$D$8="Amcangyfrifon LlC",'Incwm (Gogledd)'!E30,'Incwm (Gogledd)'!W30)</f>
        <v>20303.306668096022</v>
      </c>
      <c r="AE30" s="4">
        <f>IF('Rhaniad y Ddeiliadaeth (Cymru)'!$D$8="Amcangyfrifon LlC",'Incwm (Gogledd)'!F30,'Incwm (Gogledd)'!X30)</f>
        <v>20874.663031004926</v>
      </c>
      <c r="AF30" s="4">
        <f>IF('Rhaniad y Ddeiliadaeth (Cymru)'!$D$8="Amcangyfrifon LlC",'Incwm (Gogledd)'!G30,'Incwm (Gogledd)'!Y30)</f>
        <v>21551.059554867938</v>
      </c>
      <c r="AG30" s="4">
        <f>IF('Rhaniad y Ddeiliadaeth (Cymru)'!$D$8="Amcangyfrifon LlC",'Incwm (Gogledd)'!H30,'Incwm (Gogledd)'!Z30)</f>
        <v>22269.957194975632</v>
      </c>
    </row>
    <row r="31" spans="2:33" x14ac:dyDescent="0.25">
      <c r="B31" s="20">
        <v>37</v>
      </c>
      <c r="C31" s="56">
        <v>19857.7</v>
      </c>
      <c r="D31" s="57">
        <f>C31*(1+'Rhaniad y Ddeiliadaeth (Gog)'!C$109)+(C$44*(-(50-$B31)*('Rhaniad y Ddeiliadaeth (Gog)'!C$110/40)))</f>
        <v>20477.451804429558</v>
      </c>
      <c r="E31" s="57">
        <f>D31*(1+'Rhaniad y Ddeiliadaeth (Gog)'!D$109)+(D$44*(-(50-$B31)*('Rhaniad y Ddeiliadaeth (Gog)'!D$110/40)))</f>
        <v>20918.262425515852</v>
      </c>
      <c r="F31" s="57">
        <f>E31*(1+'Rhaniad y Ddeiliadaeth (Gog)'!E$109)+(E$44*(-(50-$B31)*('Rhaniad y Ddeiliadaeth (Gog)'!E$110/40)))</f>
        <v>21516.552134969734</v>
      </c>
      <c r="G31" s="57">
        <f>F31*(1+'Rhaniad y Ddeiliadaeth (Gog)'!F$109)+(F$44*(-(50-$B31)*('Rhaniad y Ddeiliadaeth (Gog)'!F$110/40)))</f>
        <v>22223.736388615271</v>
      </c>
      <c r="H31" s="58">
        <f>G31*(1+'Rhaniad y Ddeiliadaeth (Gog)'!G$109)+(G$44*(-(50-$B31)*('Rhaniad y Ddeiliadaeth (Gog)'!G$110/40)))</f>
        <v>22975.479289846218</v>
      </c>
      <c r="L31" s="62" t="str">
        <f t="shared" si="0"/>
        <v/>
      </c>
      <c r="M31" s="227"/>
      <c r="N31" s="36">
        <f t="shared" si="3"/>
        <v>1</v>
      </c>
      <c r="T31" s="1">
        <f t="shared" si="1"/>
        <v>37</v>
      </c>
      <c r="U31" s="4" t="str">
        <f t="shared" si="2"/>
        <v/>
      </c>
      <c r="V31" s="4" t="e">
        <f>IF($V$3=$M$3,M31,U31*(1+'Rhaniad y Ddeiliadaeth (Gog)'!C$109)+(U$44*(-(50-$T31)*('Rhaniad y Ddeiliadaeth (Gog)'!C$110/40))))</f>
        <v>#VALUE!</v>
      </c>
      <c r="W31" s="4" t="e">
        <f>V31*(1+'Rhaniad y Ddeiliadaeth (Gog)'!D$109)+(V$44*(-(50-$T31)*('Rhaniad y Ddeiliadaeth (Gog)'!D$110/40)))</f>
        <v>#VALUE!</v>
      </c>
      <c r="X31" s="4" t="e">
        <f>W31*(1+'Rhaniad y Ddeiliadaeth (Gog)'!E$109)+(W$44*(-(50-$T31)*('Rhaniad y Ddeiliadaeth (Gog)'!E$110/40)))</f>
        <v>#VALUE!</v>
      </c>
      <c r="Y31" s="4" t="e">
        <f>X31*(1+'Rhaniad y Ddeiliadaeth (Gog)'!F$109)+(X$44*(-(50-$T31)*('Rhaniad y Ddeiliadaeth (Gog)'!F$110/40)))</f>
        <v>#VALUE!</v>
      </c>
      <c r="Z31" s="4" t="e">
        <f>Y31*(1+'Rhaniad y Ddeiliadaeth (Gog)'!G$109)+(Y$44*(-(50-$T31)*('Rhaniad y Ddeiliadaeth (Gog)'!G$110/40)))</f>
        <v>#VALUE!</v>
      </c>
      <c r="AB31" s="1">
        <v>37</v>
      </c>
      <c r="AC31" s="4">
        <f>IF('Rhaniad y Ddeiliadaeth (Cymru)'!$D$8="Amcangyfrifon LlC",'Incwm (Gogledd)'!D31,'Incwm (Gogledd)'!V31)</f>
        <v>20477.451804429558</v>
      </c>
      <c r="AD31" s="4">
        <f>IF('Rhaniad y Ddeiliadaeth (Cymru)'!$D$8="Amcangyfrifon LlC",'Incwm (Gogledd)'!E31,'Incwm (Gogledd)'!W31)</f>
        <v>20918.262425515852</v>
      </c>
      <c r="AE31" s="4">
        <f>IF('Rhaniad y Ddeiliadaeth (Cymru)'!$D$8="Amcangyfrifon LlC",'Incwm (Gogledd)'!F31,'Incwm (Gogledd)'!X31)</f>
        <v>21516.552134969734</v>
      </c>
      <c r="AF31" s="4">
        <f>IF('Rhaniad y Ddeiliadaeth (Cymru)'!$D$8="Amcangyfrifon LlC",'Incwm (Gogledd)'!G31,'Incwm (Gogledd)'!Y31)</f>
        <v>22223.736388615271</v>
      </c>
      <c r="AG31" s="4">
        <f>IF('Rhaniad y Ddeiliadaeth (Cymru)'!$D$8="Amcangyfrifon LlC",'Incwm (Gogledd)'!H31,'Incwm (Gogledd)'!Z31)</f>
        <v>22975.479289846218</v>
      </c>
    </row>
    <row r="32" spans="2:33" x14ac:dyDescent="0.25">
      <c r="B32" s="20">
        <v>38</v>
      </c>
      <c r="C32" s="56">
        <v>20373.5</v>
      </c>
      <c r="D32" s="57">
        <f>C32*(1+'Rhaniad y Ddeiliadaeth (Gog)'!C$109)+(C$44*(-(50-$B32)*('Rhaniad y Ddeiliadaeth (Gog)'!C$110/40)))</f>
        <v>21017.865698087924</v>
      </c>
      <c r="E32" s="57">
        <f>D32*(1+'Rhaniad y Ddeiliadaeth (Gog)'!D$109)+(D$44*(-(50-$B32)*('Rhaniad y Ddeiliadaeth (Gog)'!D$110/40)))</f>
        <v>21479.162477029913</v>
      </c>
      <c r="F32" s="57">
        <f>E32*(1+'Rhaniad y Ddeiliadaeth (Gog)'!E$109)+(E$44*(-(50-$B32)*('Rhaniad y Ddeiliadaeth (Gog)'!E$110/40)))</f>
        <v>22102.61234308358</v>
      </c>
      <c r="G32" s="57">
        <f>F32*(1+'Rhaniad y Ddeiliadaeth (Gog)'!F$109)+(F$44*(-(50-$B32)*('Rhaniad y Ddeiliadaeth (Gog)'!F$110/40)))</f>
        <v>22838.513864311451</v>
      </c>
      <c r="H32" s="58">
        <f>G32*(1+'Rhaniad y Ddeiliadaeth (Gog)'!G$109)+(G$44*(-(50-$B32)*('Rhaniad y Ddeiliadaeth (Gog)'!G$110/40)))</f>
        <v>23620.898248384157</v>
      </c>
      <c r="L32" s="62" t="str">
        <f t="shared" si="0"/>
        <v/>
      </c>
      <c r="M32" s="227"/>
      <c r="N32" s="36">
        <f t="shared" si="3"/>
        <v>1</v>
      </c>
      <c r="T32" s="1">
        <f t="shared" si="1"/>
        <v>38</v>
      </c>
      <c r="U32" s="4" t="str">
        <f t="shared" si="2"/>
        <v/>
      </c>
      <c r="V32" s="4" t="e">
        <f>IF($V$3=$M$3,M32,U32*(1+'Rhaniad y Ddeiliadaeth (Gog)'!C$109)+(U$44*(-(50-$T32)*('Rhaniad y Ddeiliadaeth (Gog)'!C$110/40))))</f>
        <v>#VALUE!</v>
      </c>
      <c r="W32" s="4" t="e">
        <f>V32*(1+'Rhaniad y Ddeiliadaeth (Gog)'!D$109)+(V$44*(-(50-$T32)*('Rhaniad y Ddeiliadaeth (Gog)'!D$110/40)))</f>
        <v>#VALUE!</v>
      </c>
      <c r="X32" s="4" t="e">
        <f>W32*(1+'Rhaniad y Ddeiliadaeth (Gog)'!E$109)+(W$44*(-(50-$T32)*('Rhaniad y Ddeiliadaeth (Gog)'!E$110/40)))</f>
        <v>#VALUE!</v>
      </c>
      <c r="Y32" s="4" t="e">
        <f>X32*(1+'Rhaniad y Ddeiliadaeth (Gog)'!F$109)+(X$44*(-(50-$T32)*('Rhaniad y Ddeiliadaeth (Gog)'!F$110/40)))</f>
        <v>#VALUE!</v>
      </c>
      <c r="Z32" s="4" t="e">
        <f>Y32*(1+'Rhaniad y Ddeiliadaeth (Gog)'!G$109)+(Y$44*(-(50-$T32)*('Rhaniad y Ddeiliadaeth (Gog)'!G$110/40)))</f>
        <v>#VALUE!</v>
      </c>
      <c r="AB32" s="1">
        <v>38</v>
      </c>
      <c r="AC32" s="4">
        <f>IF('Rhaniad y Ddeiliadaeth (Cymru)'!$D$8="Amcangyfrifon LlC",'Incwm (Gogledd)'!D32,'Incwm (Gogledd)'!V32)</f>
        <v>21017.865698087924</v>
      </c>
      <c r="AD32" s="4">
        <f>IF('Rhaniad y Ddeiliadaeth (Cymru)'!$D$8="Amcangyfrifon LlC",'Incwm (Gogledd)'!E32,'Incwm (Gogledd)'!W32)</f>
        <v>21479.162477029913</v>
      </c>
      <c r="AE32" s="4">
        <f>IF('Rhaniad y Ddeiliadaeth (Cymru)'!$D$8="Amcangyfrifon LlC",'Incwm (Gogledd)'!F32,'Incwm (Gogledd)'!X32)</f>
        <v>22102.61234308358</v>
      </c>
      <c r="AF32" s="4">
        <f>IF('Rhaniad y Ddeiliadaeth (Cymru)'!$D$8="Amcangyfrifon LlC",'Incwm (Gogledd)'!G32,'Incwm (Gogledd)'!Y32)</f>
        <v>22838.513864311451</v>
      </c>
      <c r="AG32" s="4">
        <f>IF('Rhaniad y Ddeiliadaeth (Cymru)'!$D$8="Amcangyfrifon LlC",'Incwm (Gogledd)'!H32,'Incwm (Gogledd)'!Z32)</f>
        <v>23620.898248384157</v>
      </c>
    </row>
    <row r="33" spans="2:33" x14ac:dyDescent="0.25">
      <c r="B33" s="20">
        <v>39</v>
      </c>
      <c r="C33" s="56">
        <v>20843.05</v>
      </c>
      <c r="D33" s="57">
        <f>C33*(1+'Rhaniad y Ddeiliadaeth (Gog)'!C$109)+(C$44*(-(50-$B33)*('Rhaniad y Ddeiliadaeth (Gog)'!C$110/40)))</f>
        <v>21510.393388723412</v>
      </c>
      <c r="E33" s="57">
        <f>D33*(1+'Rhaniad y Ddeiliadaeth (Gog)'!D$109)+(D$44*(-(50-$B33)*('Rhaniad y Ddeiliadaeth (Gog)'!D$110/40)))</f>
        <v>21990.945114042159</v>
      </c>
      <c r="F33" s="57">
        <f>E33*(1+'Rhaniad y Ddeiliadaeth (Gog)'!E$109)+(E$44*(-(50-$B33)*('Rhaniad y Ddeiliadaeth (Gog)'!E$110/40)))</f>
        <v>22637.943937580374</v>
      </c>
      <c r="G33" s="57">
        <f>F33*(1+'Rhaniad y Ddeiliadaeth (Gog)'!F$109)+(F$44*(-(50-$B33)*('Rhaniad y Ddeiliadaeth (Gog)'!F$110/40)))</f>
        <v>23400.681412505346</v>
      </c>
      <c r="H33" s="58">
        <f>G33*(1+'Rhaniad y Ddeiliadaeth (Gog)'!G$109)+(G$44*(-(50-$B33)*('Rhaniad y Ddeiliadaeth (Gog)'!G$110/40)))</f>
        <v>24211.704828623762</v>
      </c>
      <c r="L33" s="62" t="str">
        <f t="shared" si="0"/>
        <v/>
      </c>
      <c r="M33" s="227"/>
      <c r="N33" s="36">
        <f t="shared" si="3"/>
        <v>1</v>
      </c>
      <c r="T33" s="1">
        <f t="shared" si="1"/>
        <v>39</v>
      </c>
      <c r="U33" s="4" t="str">
        <f t="shared" si="2"/>
        <v/>
      </c>
      <c r="V33" s="4" t="e">
        <f>IF($V$3=$M$3,M33,U33*(1+'Rhaniad y Ddeiliadaeth (Gog)'!C$109)+(U$44*(-(50-$T33)*('Rhaniad y Ddeiliadaeth (Gog)'!C$110/40))))</f>
        <v>#VALUE!</v>
      </c>
      <c r="W33" s="4" t="e">
        <f>V33*(1+'Rhaniad y Ddeiliadaeth (Gog)'!D$109)+(V$44*(-(50-$T33)*('Rhaniad y Ddeiliadaeth (Gog)'!D$110/40)))</f>
        <v>#VALUE!</v>
      </c>
      <c r="X33" s="4" t="e">
        <f>W33*(1+'Rhaniad y Ddeiliadaeth (Gog)'!E$109)+(W$44*(-(50-$T33)*('Rhaniad y Ddeiliadaeth (Gog)'!E$110/40)))</f>
        <v>#VALUE!</v>
      </c>
      <c r="Y33" s="4" t="e">
        <f>X33*(1+'Rhaniad y Ddeiliadaeth (Gog)'!F$109)+(X$44*(-(50-$T33)*('Rhaniad y Ddeiliadaeth (Gog)'!F$110/40)))</f>
        <v>#VALUE!</v>
      </c>
      <c r="Z33" s="4" t="e">
        <f>Y33*(1+'Rhaniad y Ddeiliadaeth (Gog)'!G$109)+(Y$44*(-(50-$T33)*('Rhaniad y Ddeiliadaeth (Gog)'!G$110/40)))</f>
        <v>#VALUE!</v>
      </c>
      <c r="AB33" s="1">
        <v>39</v>
      </c>
      <c r="AC33" s="4">
        <f>IF('Rhaniad y Ddeiliadaeth (Cymru)'!$D$8="Amcangyfrifon LlC",'Incwm (Gogledd)'!D33,'Incwm (Gogledd)'!V33)</f>
        <v>21510.393388723412</v>
      </c>
      <c r="AD33" s="4">
        <f>IF('Rhaniad y Ddeiliadaeth (Cymru)'!$D$8="Amcangyfrifon LlC",'Incwm (Gogledd)'!E33,'Incwm (Gogledd)'!W33)</f>
        <v>21990.945114042159</v>
      </c>
      <c r="AE33" s="4">
        <f>IF('Rhaniad y Ddeiliadaeth (Cymru)'!$D$8="Amcangyfrifon LlC",'Incwm (Gogledd)'!F33,'Incwm (Gogledd)'!X33)</f>
        <v>22637.943937580374</v>
      </c>
      <c r="AF33" s="4">
        <f>IF('Rhaniad y Ddeiliadaeth (Cymru)'!$D$8="Amcangyfrifon LlC",'Incwm (Gogledd)'!G33,'Incwm (Gogledd)'!Y33)</f>
        <v>23400.681412505346</v>
      </c>
      <c r="AG33" s="4">
        <f>IF('Rhaniad y Ddeiliadaeth (Cymru)'!$D$8="Amcangyfrifon LlC",'Incwm (Gogledd)'!H33,'Incwm (Gogledd)'!Z33)</f>
        <v>24211.704828623762</v>
      </c>
    </row>
    <row r="34" spans="2:33" x14ac:dyDescent="0.25">
      <c r="B34" s="20">
        <v>40</v>
      </c>
      <c r="C34" s="56">
        <v>21225</v>
      </c>
      <c r="D34" s="57">
        <f>C34*(1+'Rhaniad y Ddeiliadaeth (Gog)'!C$109)+(C$44*(-(50-$B34)*('Rhaniad y Ddeiliadaeth (Gog)'!C$110/40)))</f>
        <v>21912.222022390175</v>
      </c>
      <c r="E34" s="57">
        <f>D34*(1+'Rhaniad y Ddeiliadaeth (Gog)'!D$109)+(D$44*(-(50-$B34)*('Rhaniad y Ddeiliadaeth (Gog)'!D$110/40)))</f>
        <v>22409.696712992616</v>
      </c>
      <c r="F34" s="57">
        <f>E34*(1+'Rhaniad y Ddeiliadaeth (Gog)'!E$109)+(E$44*(-(50-$B34)*('Rhaniad y Ddeiliadaeth (Gog)'!E$110/40)))</f>
        <v>23077.192795799285</v>
      </c>
      <c r="G34" s="57">
        <f>F34*(1+'Rhaniad y Ddeiliadaeth (Gog)'!F$109)+(F$44*(-(50-$B34)*('Rhaniad y Ddeiliadaeth (Gog)'!F$110/40)))</f>
        <v>23863.202914230071</v>
      </c>
      <c r="H34" s="58">
        <f>G34*(1+'Rhaniad y Ddeiliadaeth (Gog)'!G$109)+(G$44*(-(50-$B34)*('Rhaniad y Ddeiliadaeth (Gog)'!G$110/40)))</f>
        <v>24699.072612345899</v>
      </c>
      <c r="L34" s="62" t="str">
        <f t="shared" si="0"/>
        <v/>
      </c>
      <c r="M34" s="227"/>
      <c r="N34" s="36">
        <f t="shared" si="3"/>
        <v>1</v>
      </c>
      <c r="T34" s="1">
        <f t="shared" si="1"/>
        <v>40</v>
      </c>
      <c r="U34" s="4" t="str">
        <f t="shared" si="2"/>
        <v/>
      </c>
      <c r="V34" s="4" t="e">
        <f>IF($V$3=$M$3,M34,U34*(1+'Rhaniad y Ddeiliadaeth (Gog)'!C$109)+(U$44*(-(50-$T34)*('Rhaniad y Ddeiliadaeth (Gog)'!C$110/40))))</f>
        <v>#VALUE!</v>
      </c>
      <c r="W34" s="4" t="e">
        <f>V34*(1+'Rhaniad y Ddeiliadaeth (Gog)'!D$109)+(V$44*(-(50-$T34)*('Rhaniad y Ddeiliadaeth (Gog)'!D$110/40)))</f>
        <v>#VALUE!</v>
      </c>
      <c r="X34" s="4" t="e">
        <f>W34*(1+'Rhaniad y Ddeiliadaeth (Gog)'!E$109)+(W$44*(-(50-$T34)*('Rhaniad y Ddeiliadaeth (Gog)'!E$110/40)))</f>
        <v>#VALUE!</v>
      </c>
      <c r="Y34" s="4" t="e">
        <f>X34*(1+'Rhaniad y Ddeiliadaeth (Gog)'!F$109)+(X$44*(-(50-$T34)*('Rhaniad y Ddeiliadaeth (Gog)'!F$110/40)))</f>
        <v>#VALUE!</v>
      </c>
      <c r="Z34" s="4" t="e">
        <f>Y34*(1+'Rhaniad y Ddeiliadaeth (Gog)'!G$109)+(Y$44*(-(50-$T34)*('Rhaniad y Ddeiliadaeth (Gog)'!G$110/40)))</f>
        <v>#VALUE!</v>
      </c>
      <c r="AB34" s="1">
        <v>40</v>
      </c>
      <c r="AC34" s="4">
        <f>IF('Rhaniad y Ddeiliadaeth (Cymru)'!$D$8="Amcangyfrifon LlC",'Incwm (Gogledd)'!D34,'Incwm (Gogledd)'!V34)</f>
        <v>21912.222022390175</v>
      </c>
      <c r="AD34" s="4">
        <f>IF('Rhaniad y Ddeiliadaeth (Cymru)'!$D$8="Amcangyfrifon LlC",'Incwm (Gogledd)'!E34,'Incwm (Gogledd)'!W34)</f>
        <v>22409.696712992616</v>
      </c>
      <c r="AE34" s="4">
        <f>IF('Rhaniad y Ddeiliadaeth (Cymru)'!$D$8="Amcangyfrifon LlC",'Incwm (Gogledd)'!F34,'Incwm (Gogledd)'!X34)</f>
        <v>23077.192795799285</v>
      </c>
      <c r="AF34" s="4">
        <f>IF('Rhaniad y Ddeiliadaeth (Cymru)'!$D$8="Amcangyfrifon LlC",'Incwm (Gogledd)'!G34,'Incwm (Gogledd)'!Y34)</f>
        <v>23863.202914230071</v>
      </c>
      <c r="AG34" s="4">
        <f>IF('Rhaniad y Ddeiliadaeth (Cymru)'!$D$8="Amcangyfrifon LlC",'Incwm (Gogledd)'!H34,'Incwm (Gogledd)'!Z34)</f>
        <v>24699.072612345899</v>
      </c>
    </row>
    <row r="35" spans="2:33" x14ac:dyDescent="0.25">
      <c r="B35" s="20">
        <v>41</v>
      </c>
      <c r="C35" s="56">
        <v>21525</v>
      </c>
      <c r="D35" s="57">
        <f>C35*(1+'Rhaniad y Ddeiliadaeth (Gog)'!C$109)+(C$44*(-(50-$B35)*('Rhaniad y Ddeiliadaeth (Gog)'!C$110/40)))</f>
        <v>22229.201481187207</v>
      </c>
      <c r="E35" s="57">
        <f>D35*(1+'Rhaniad y Ddeiliadaeth (Gog)'!D$109)+(D$44*(-(50-$B35)*('Rhaniad y Ddeiliadaeth (Gog)'!D$110/40)))</f>
        <v>22741.417563436626</v>
      </c>
      <c r="F35" s="57">
        <f>E35*(1+'Rhaniad y Ddeiliadaeth (Gog)'!E$109)+(E$44*(-(50-$B35)*('Rhaniad y Ddeiliadaeth (Gog)'!E$110/40)))</f>
        <v>23426.556034863239</v>
      </c>
      <c r="G35" s="57">
        <f>F35*(1+'Rhaniad y Ddeiliadaeth (Gog)'!F$109)+(F$44*(-(50-$B35)*('Rhaniad y Ddeiliadaeth (Gog)'!F$110/40)))</f>
        <v>24232.50531198048</v>
      </c>
      <c r="H35" s="58">
        <f>G35*(1+'Rhaniad y Ddeiliadaeth (Gog)'!G$109)+(G$44*(-(50-$B35)*('Rhaniad y Ddeiliadaeth (Gog)'!G$110/40)))</f>
        <v>25089.673165764285</v>
      </c>
      <c r="L35" s="62" t="str">
        <f t="shared" si="0"/>
        <v/>
      </c>
      <c r="M35" s="227"/>
      <c r="N35" s="36">
        <f t="shared" si="3"/>
        <v>1</v>
      </c>
      <c r="T35" s="1">
        <f t="shared" si="1"/>
        <v>41</v>
      </c>
      <c r="U35" s="4" t="str">
        <f t="shared" si="2"/>
        <v/>
      </c>
      <c r="V35" s="4" t="e">
        <f>IF($V$3=$M$3,M35,U35*(1+'Rhaniad y Ddeiliadaeth (Gog)'!C$109)+(U$44*(-(50-$T35)*('Rhaniad y Ddeiliadaeth (Gog)'!C$110/40))))</f>
        <v>#VALUE!</v>
      </c>
      <c r="W35" s="4" t="e">
        <f>V35*(1+'Rhaniad y Ddeiliadaeth (Gog)'!D$109)+(V$44*(-(50-$T35)*('Rhaniad y Ddeiliadaeth (Gog)'!D$110/40)))</f>
        <v>#VALUE!</v>
      </c>
      <c r="X35" s="4" t="e">
        <f>W35*(1+'Rhaniad y Ddeiliadaeth (Gog)'!E$109)+(W$44*(-(50-$T35)*('Rhaniad y Ddeiliadaeth (Gog)'!E$110/40)))</f>
        <v>#VALUE!</v>
      </c>
      <c r="Y35" s="4" t="e">
        <f>X35*(1+'Rhaniad y Ddeiliadaeth (Gog)'!F$109)+(X$44*(-(50-$T35)*('Rhaniad y Ddeiliadaeth (Gog)'!F$110/40)))</f>
        <v>#VALUE!</v>
      </c>
      <c r="Z35" s="4" t="e">
        <f>Y35*(1+'Rhaniad y Ddeiliadaeth (Gog)'!G$109)+(Y$44*(-(50-$T35)*('Rhaniad y Ddeiliadaeth (Gog)'!G$110/40)))</f>
        <v>#VALUE!</v>
      </c>
      <c r="AB35" s="1">
        <v>41</v>
      </c>
      <c r="AC35" s="4">
        <f>IF('Rhaniad y Ddeiliadaeth (Cymru)'!$D$8="Amcangyfrifon LlC",'Incwm (Gogledd)'!D35,'Incwm (Gogledd)'!V35)</f>
        <v>22229.201481187207</v>
      </c>
      <c r="AD35" s="4">
        <f>IF('Rhaniad y Ddeiliadaeth (Cymru)'!$D$8="Amcangyfrifon LlC",'Incwm (Gogledd)'!E35,'Incwm (Gogledd)'!W35)</f>
        <v>22741.417563436626</v>
      </c>
      <c r="AE35" s="4">
        <f>IF('Rhaniad y Ddeiliadaeth (Cymru)'!$D$8="Amcangyfrifon LlC",'Incwm (Gogledd)'!F35,'Incwm (Gogledd)'!X35)</f>
        <v>23426.556034863239</v>
      </c>
      <c r="AF35" s="4">
        <f>IF('Rhaniad y Ddeiliadaeth (Cymru)'!$D$8="Amcangyfrifon LlC",'Incwm (Gogledd)'!G35,'Incwm (Gogledd)'!Y35)</f>
        <v>24232.50531198048</v>
      </c>
      <c r="AG35" s="4">
        <f>IF('Rhaniad y Ddeiliadaeth (Cymru)'!$D$8="Amcangyfrifon LlC",'Incwm (Gogledd)'!H35,'Incwm (Gogledd)'!Z35)</f>
        <v>25089.673165764285</v>
      </c>
    </row>
    <row r="36" spans="2:33" x14ac:dyDescent="0.25">
      <c r="B36" s="20">
        <v>42</v>
      </c>
      <c r="C36" s="56">
        <v>22006.57</v>
      </c>
      <c r="D36" s="57">
        <f>C36*(1+'Rhaniad y Ddeiliadaeth (Gog)'!C$109)+(C$44*(-(50-$B36)*('Rhaniad y Ddeiliadaeth (Gog)'!C$110/40)))</f>
        <v>22734.174407721832</v>
      </c>
      <c r="E36" s="57">
        <f>D36*(1+'Rhaniad y Ddeiliadaeth (Gog)'!D$109)+(D$44*(-(50-$B36)*('Rhaniad y Ddeiliadaeth (Gog)'!D$110/40)))</f>
        <v>23265.965418228589</v>
      </c>
      <c r="F36" s="57">
        <f>E36*(1+'Rhaniad y Ddeiliadaeth (Gog)'!E$109)+(E$44*(-(50-$B36)*('Rhaniad y Ddeiliadaeth (Gog)'!E$110/40)))</f>
        <v>23975.071584726022</v>
      </c>
      <c r="G36" s="57">
        <f>F36*(1+'Rhaniad y Ddeiliadaeth (Gog)'!F$109)+(F$44*(-(50-$B36)*('Rhaniad y Ddeiliadaeth (Gog)'!F$110/40)))</f>
        <v>24808.345753765239</v>
      </c>
      <c r="H36" s="58">
        <f>G36*(1+'Rhaniad y Ddeiliadaeth (Gog)'!G$109)+(G$44*(-(50-$B36)*('Rhaniad y Ddeiliadaeth (Gog)'!G$110/40)))</f>
        <v>25694.673060320561</v>
      </c>
      <c r="L36" s="62" t="str">
        <f t="shared" si="0"/>
        <v/>
      </c>
      <c r="M36" s="227"/>
      <c r="N36" s="36">
        <f t="shared" si="3"/>
        <v>1</v>
      </c>
      <c r="T36" s="1">
        <f t="shared" si="1"/>
        <v>42</v>
      </c>
      <c r="U36" s="4" t="str">
        <f t="shared" si="2"/>
        <v/>
      </c>
      <c r="V36" s="4" t="e">
        <f>IF($V$3=$M$3,M36,U36*(1+'Rhaniad y Ddeiliadaeth (Gog)'!C$109)+(U$44*(-(50-$T36)*('Rhaniad y Ddeiliadaeth (Gog)'!C$110/40))))</f>
        <v>#VALUE!</v>
      </c>
      <c r="W36" s="4" t="e">
        <f>V36*(1+'Rhaniad y Ddeiliadaeth (Gog)'!D$109)+(V$44*(-(50-$T36)*('Rhaniad y Ddeiliadaeth (Gog)'!D$110/40)))</f>
        <v>#VALUE!</v>
      </c>
      <c r="X36" s="4" t="e">
        <f>W36*(1+'Rhaniad y Ddeiliadaeth (Gog)'!E$109)+(W$44*(-(50-$T36)*('Rhaniad y Ddeiliadaeth (Gog)'!E$110/40)))</f>
        <v>#VALUE!</v>
      </c>
      <c r="Y36" s="4" t="e">
        <f>X36*(1+'Rhaniad y Ddeiliadaeth (Gog)'!F$109)+(X$44*(-(50-$T36)*('Rhaniad y Ddeiliadaeth (Gog)'!F$110/40)))</f>
        <v>#VALUE!</v>
      </c>
      <c r="Z36" s="4" t="e">
        <f>Y36*(1+'Rhaniad y Ddeiliadaeth (Gog)'!G$109)+(Y$44*(-(50-$T36)*('Rhaniad y Ddeiliadaeth (Gog)'!G$110/40)))</f>
        <v>#VALUE!</v>
      </c>
      <c r="AB36" s="1">
        <v>42</v>
      </c>
      <c r="AC36" s="4">
        <f>IF('Rhaniad y Ddeiliadaeth (Cymru)'!$D$8="Amcangyfrifon LlC",'Incwm (Gogledd)'!D36,'Incwm (Gogledd)'!V36)</f>
        <v>22734.174407721832</v>
      </c>
      <c r="AD36" s="4">
        <f>IF('Rhaniad y Ddeiliadaeth (Cymru)'!$D$8="Amcangyfrifon LlC",'Incwm (Gogledd)'!E36,'Incwm (Gogledd)'!W36)</f>
        <v>23265.965418228589</v>
      </c>
      <c r="AE36" s="4">
        <f>IF('Rhaniad y Ddeiliadaeth (Cymru)'!$D$8="Amcangyfrifon LlC",'Incwm (Gogledd)'!F36,'Incwm (Gogledd)'!X36)</f>
        <v>23975.071584726022</v>
      </c>
      <c r="AF36" s="4">
        <f>IF('Rhaniad y Ddeiliadaeth (Cymru)'!$D$8="Amcangyfrifon LlC",'Incwm (Gogledd)'!G36,'Incwm (Gogledd)'!Y36)</f>
        <v>24808.345753765239</v>
      </c>
      <c r="AG36" s="4">
        <f>IF('Rhaniad y Ddeiliadaeth (Cymru)'!$D$8="Amcangyfrifon LlC",'Incwm (Gogledd)'!H36,'Incwm (Gogledd)'!Z36)</f>
        <v>25694.673060320561</v>
      </c>
    </row>
    <row r="37" spans="2:33" x14ac:dyDescent="0.25">
      <c r="B37" s="20">
        <v>43</v>
      </c>
      <c r="C37" s="56">
        <v>22577</v>
      </c>
      <c r="D37" s="57">
        <f>C37*(1+'Rhaniad y Ddeiliadaeth (Gog)'!C$109)+(C$44*(-(50-$B37)*('Rhaniad y Ddeiliadaeth (Gog)'!C$110/40)))</f>
        <v>23331.150966702138</v>
      </c>
      <c r="E37" s="57">
        <f>D37*(1+'Rhaniad y Ddeiliadaeth (Gog)'!D$109)+(D$44*(-(50-$B37)*('Rhaniad y Ddeiliadaeth (Gog)'!D$110/40)))</f>
        <v>23884.882428753102</v>
      </c>
      <c r="F37" s="57">
        <f>E37*(1+'Rhaniad y Ddeiliadaeth (Gog)'!E$109)+(E$44*(-(50-$B37)*('Rhaniad y Ddeiliadaeth (Gog)'!E$110/40)))</f>
        <v>24621.051882826865</v>
      </c>
      <c r="G37" s="57">
        <f>F37*(1+'Rhaniad y Ddeiliadaeth (Gog)'!F$109)+(F$44*(-(50-$B37)*('Rhaniad y Ddeiliadaeth (Gog)'!F$110/40)))</f>
        <v>25485.265507071133</v>
      </c>
      <c r="H37" s="58">
        <f>G37*(1+'Rhaniad y Ddeiliadaeth (Gog)'!G$109)+(G$44*(-(50-$B37)*('Rhaniad y Ddeiliadaeth (Gog)'!G$110/40)))</f>
        <v>26404.599569700389</v>
      </c>
      <c r="L37" s="62" t="str">
        <f t="shared" si="0"/>
        <v/>
      </c>
      <c r="M37" s="227"/>
      <c r="N37" s="36">
        <f t="shared" si="3"/>
        <v>1</v>
      </c>
      <c r="T37" s="1">
        <f t="shared" si="1"/>
        <v>43</v>
      </c>
      <c r="U37" s="4" t="str">
        <f t="shared" si="2"/>
        <v/>
      </c>
      <c r="V37" s="4" t="e">
        <f>IF($V$3=$M$3,M37,U37*(1+'Rhaniad y Ddeiliadaeth (Gog)'!C$109)+(U$44*(-(50-$T37)*('Rhaniad y Ddeiliadaeth (Gog)'!C$110/40))))</f>
        <v>#VALUE!</v>
      </c>
      <c r="W37" s="4" t="e">
        <f>V37*(1+'Rhaniad y Ddeiliadaeth (Gog)'!D$109)+(V$44*(-(50-$T37)*('Rhaniad y Ddeiliadaeth (Gog)'!D$110/40)))</f>
        <v>#VALUE!</v>
      </c>
      <c r="X37" s="4" t="e">
        <f>W37*(1+'Rhaniad y Ddeiliadaeth (Gog)'!E$109)+(W$44*(-(50-$T37)*('Rhaniad y Ddeiliadaeth (Gog)'!E$110/40)))</f>
        <v>#VALUE!</v>
      </c>
      <c r="Y37" s="4" t="e">
        <f>X37*(1+'Rhaniad y Ddeiliadaeth (Gog)'!F$109)+(X$44*(-(50-$T37)*('Rhaniad y Ddeiliadaeth (Gog)'!F$110/40)))</f>
        <v>#VALUE!</v>
      </c>
      <c r="Z37" s="4" t="e">
        <f>Y37*(1+'Rhaniad y Ddeiliadaeth (Gog)'!G$109)+(Y$44*(-(50-$T37)*('Rhaniad y Ddeiliadaeth (Gog)'!G$110/40)))</f>
        <v>#VALUE!</v>
      </c>
      <c r="AB37" s="1">
        <v>43</v>
      </c>
      <c r="AC37" s="4">
        <f>IF('Rhaniad y Ddeiliadaeth (Cymru)'!$D$8="Amcangyfrifon LlC",'Incwm (Gogledd)'!D37,'Incwm (Gogledd)'!V37)</f>
        <v>23331.150966702138</v>
      </c>
      <c r="AD37" s="4">
        <f>IF('Rhaniad y Ddeiliadaeth (Cymru)'!$D$8="Amcangyfrifon LlC",'Incwm (Gogledd)'!E37,'Incwm (Gogledd)'!W37)</f>
        <v>23884.882428753102</v>
      </c>
      <c r="AE37" s="4">
        <f>IF('Rhaniad y Ddeiliadaeth (Cymru)'!$D$8="Amcangyfrifon LlC",'Incwm (Gogledd)'!F37,'Incwm (Gogledd)'!X37)</f>
        <v>24621.051882826865</v>
      </c>
      <c r="AF37" s="4">
        <f>IF('Rhaniad y Ddeiliadaeth (Cymru)'!$D$8="Amcangyfrifon LlC",'Incwm (Gogledd)'!G37,'Incwm (Gogledd)'!Y37)</f>
        <v>25485.265507071133</v>
      </c>
      <c r="AG37" s="4">
        <f>IF('Rhaniad y Ddeiliadaeth (Cymru)'!$D$8="Amcangyfrifon LlC",'Incwm (Gogledd)'!H37,'Incwm (Gogledd)'!Z37)</f>
        <v>26404.599569700389</v>
      </c>
    </row>
    <row r="38" spans="2:33" x14ac:dyDescent="0.25">
      <c r="B38" s="20">
        <v>44</v>
      </c>
      <c r="C38" s="56">
        <v>22897.16</v>
      </c>
      <c r="D38" s="57">
        <f>C38*(1+'Rhaniad y Ddeiliadaeth (Gog)'!C$109)+(C$44*(-(50-$B38)*('Rhaniad y Ddeiliadaeth (Gog)'!C$110/40)))</f>
        <v>23669.003633130338</v>
      </c>
      <c r="E38" s="57">
        <f>D38*(1+'Rhaniad y Ddeiliadaeth (Gog)'!D$109)+(D$44*(-(50-$B38)*('Rhaniad y Ddeiliadaeth (Gog)'!D$110/40)))</f>
        <v>24238.01316192915</v>
      </c>
      <c r="F38" s="57">
        <f>E38*(1+'Rhaniad y Ddeiliadaeth (Gog)'!E$109)+(E$44*(-(50-$B38)*('Rhaniad y Ddeiliadaeth (Gog)'!E$110/40)))</f>
        <v>24992.527313253413</v>
      </c>
      <c r="G38" s="57">
        <f>F38*(1+'Rhaniad y Ddeiliadaeth (Gog)'!F$109)+(F$44*(-(50-$B38)*('Rhaniad y Ddeiliadaeth (Gog)'!F$110/40)))</f>
        <v>25877.500145652823</v>
      </c>
      <c r="H38" s="58">
        <f>G38*(1+'Rhaniad y Ddeiliadaeth (Gog)'!G$109)+(G$44*(-(50-$B38)*('Rhaniad y Ddeiliadaeth (Gog)'!G$110/40)))</f>
        <v>26819.005216015968</v>
      </c>
      <c r="L38" s="62" t="str">
        <f t="shared" si="0"/>
        <v/>
      </c>
      <c r="M38" s="227"/>
      <c r="N38" s="36">
        <f t="shared" si="3"/>
        <v>1</v>
      </c>
      <c r="T38" s="1">
        <f t="shared" si="1"/>
        <v>44</v>
      </c>
      <c r="U38" s="4" t="str">
        <f t="shared" si="2"/>
        <v/>
      </c>
      <c r="V38" s="4" t="e">
        <f>IF($V$3=$M$3,M38,U38*(1+'Rhaniad y Ddeiliadaeth (Gog)'!C$109)+(U$44*(-(50-$T38)*('Rhaniad y Ddeiliadaeth (Gog)'!C$110/40))))</f>
        <v>#VALUE!</v>
      </c>
      <c r="W38" s="4" t="e">
        <f>V38*(1+'Rhaniad y Ddeiliadaeth (Gog)'!D$109)+(V$44*(-(50-$T38)*('Rhaniad y Ddeiliadaeth (Gog)'!D$110/40)))</f>
        <v>#VALUE!</v>
      </c>
      <c r="X38" s="4" t="e">
        <f>W38*(1+'Rhaniad y Ddeiliadaeth (Gog)'!E$109)+(W$44*(-(50-$T38)*('Rhaniad y Ddeiliadaeth (Gog)'!E$110/40)))</f>
        <v>#VALUE!</v>
      </c>
      <c r="Y38" s="4" t="e">
        <f>X38*(1+'Rhaniad y Ddeiliadaeth (Gog)'!F$109)+(X$44*(-(50-$T38)*('Rhaniad y Ddeiliadaeth (Gog)'!F$110/40)))</f>
        <v>#VALUE!</v>
      </c>
      <c r="Z38" s="4" t="e">
        <f>Y38*(1+'Rhaniad y Ddeiliadaeth (Gog)'!G$109)+(Y$44*(-(50-$T38)*('Rhaniad y Ddeiliadaeth (Gog)'!G$110/40)))</f>
        <v>#VALUE!</v>
      </c>
      <c r="AB38" s="1">
        <v>44</v>
      </c>
      <c r="AC38" s="4">
        <f>IF('Rhaniad y Ddeiliadaeth (Cymru)'!$D$8="Amcangyfrifon LlC",'Incwm (Gogledd)'!D38,'Incwm (Gogledd)'!V38)</f>
        <v>23669.003633130338</v>
      </c>
      <c r="AD38" s="4">
        <f>IF('Rhaniad y Ddeiliadaeth (Cymru)'!$D$8="Amcangyfrifon LlC",'Incwm (Gogledd)'!E38,'Incwm (Gogledd)'!W38)</f>
        <v>24238.01316192915</v>
      </c>
      <c r="AE38" s="4">
        <f>IF('Rhaniad y Ddeiliadaeth (Cymru)'!$D$8="Amcangyfrifon LlC",'Incwm (Gogledd)'!F38,'Incwm (Gogledd)'!X38)</f>
        <v>24992.527313253413</v>
      </c>
      <c r="AF38" s="4">
        <f>IF('Rhaniad y Ddeiliadaeth (Cymru)'!$D$8="Amcangyfrifon LlC",'Incwm (Gogledd)'!G38,'Incwm (Gogledd)'!Y38)</f>
        <v>25877.500145652823</v>
      </c>
      <c r="AG38" s="4">
        <f>IF('Rhaniad y Ddeiliadaeth (Cymru)'!$D$8="Amcangyfrifon LlC",'Incwm (Gogledd)'!H38,'Incwm (Gogledd)'!Z38)</f>
        <v>26819.005216015968</v>
      </c>
    </row>
    <row r="39" spans="2:33" x14ac:dyDescent="0.25">
      <c r="B39" s="20">
        <v>45</v>
      </c>
      <c r="C39" s="56">
        <v>23525</v>
      </c>
      <c r="D39" s="57">
        <f>C39*(1+'Rhaniad y Ddeiliadaeth (Gog)'!C$109)+(C$44*(-(50-$B39)*('Rhaniad y Ddeiliadaeth (Gog)'!C$110/40)))</f>
        <v>24325.42120650077</v>
      </c>
      <c r="E39" s="57">
        <f>D39*(1+'Rhaniad y Ddeiliadaeth (Gog)'!D$109)+(D$44*(-(50-$B39)*('Rhaniad y Ddeiliadaeth (Gog)'!D$110/40)))</f>
        <v>24917.89948632499</v>
      </c>
      <c r="F39" s="57">
        <f>E39*(1+'Rhaniad y Ddeiliadaeth (Gog)'!E$109)+(E$44*(-(50-$B39)*('Rhaniad y Ddeiliadaeth (Gog)'!E$110/40)))</f>
        <v>25701.476902332728</v>
      </c>
      <c r="G39" s="57">
        <f>F39*(1+'Rhaniad y Ddeiliadaeth (Gog)'!F$109)+(F$44*(-(50-$B39)*('Rhaniad y Ddeiliadaeth (Gog)'!F$110/40)))</f>
        <v>26619.724459778303</v>
      </c>
      <c r="H39" s="58">
        <f>G39*(1+'Rhaniad y Ddeiliadaeth (Gog)'!G$109)+(G$44*(-(50-$B39)*('Rhaniad y Ddeiliadaeth (Gog)'!G$110/40)))</f>
        <v>27596.721922976492</v>
      </c>
      <c r="L39" s="62" t="str">
        <f t="shared" si="0"/>
        <v/>
      </c>
      <c r="M39" s="227"/>
      <c r="N39" s="36">
        <f t="shared" si="3"/>
        <v>1</v>
      </c>
      <c r="T39" s="1">
        <f t="shared" si="1"/>
        <v>45</v>
      </c>
      <c r="U39" s="4" t="str">
        <f t="shared" si="2"/>
        <v/>
      </c>
      <c r="V39" s="4" t="e">
        <f>IF($V$3=$M$3,M39,U39*(1+'Rhaniad y Ddeiliadaeth (Gog)'!C$109)+(U$44*(-(50-$T39)*('Rhaniad y Ddeiliadaeth (Gog)'!C$110/40))))</f>
        <v>#VALUE!</v>
      </c>
      <c r="W39" s="4" t="e">
        <f>V39*(1+'Rhaniad y Ddeiliadaeth (Gog)'!D$109)+(V$44*(-(50-$T39)*('Rhaniad y Ddeiliadaeth (Gog)'!D$110/40)))</f>
        <v>#VALUE!</v>
      </c>
      <c r="X39" s="4" t="e">
        <f>W39*(1+'Rhaniad y Ddeiliadaeth (Gog)'!E$109)+(W$44*(-(50-$T39)*('Rhaniad y Ddeiliadaeth (Gog)'!E$110/40)))</f>
        <v>#VALUE!</v>
      </c>
      <c r="Y39" s="4" t="e">
        <f>X39*(1+'Rhaniad y Ddeiliadaeth (Gog)'!F$109)+(X$44*(-(50-$T39)*('Rhaniad y Ddeiliadaeth (Gog)'!F$110/40)))</f>
        <v>#VALUE!</v>
      </c>
      <c r="Z39" s="4" t="e">
        <f>Y39*(1+'Rhaniad y Ddeiliadaeth (Gog)'!G$109)+(Y$44*(-(50-$T39)*('Rhaniad y Ddeiliadaeth (Gog)'!G$110/40)))</f>
        <v>#VALUE!</v>
      </c>
      <c r="AB39" s="1">
        <v>45</v>
      </c>
      <c r="AC39" s="4">
        <f>IF('Rhaniad y Ddeiliadaeth (Cymru)'!$D$8="Amcangyfrifon LlC",'Incwm (Gogledd)'!D39,'Incwm (Gogledd)'!V39)</f>
        <v>24325.42120650077</v>
      </c>
      <c r="AD39" s="4">
        <f>IF('Rhaniad y Ddeiliadaeth (Cymru)'!$D$8="Amcangyfrifon LlC",'Incwm (Gogledd)'!E39,'Incwm (Gogledd)'!W39)</f>
        <v>24917.89948632499</v>
      </c>
      <c r="AE39" s="4">
        <f>IF('Rhaniad y Ddeiliadaeth (Cymru)'!$D$8="Amcangyfrifon LlC",'Incwm (Gogledd)'!F39,'Incwm (Gogledd)'!X39)</f>
        <v>25701.476902332728</v>
      </c>
      <c r="AF39" s="4">
        <f>IF('Rhaniad y Ddeiliadaeth (Cymru)'!$D$8="Amcangyfrifon LlC",'Incwm (Gogledd)'!G39,'Incwm (Gogledd)'!Y39)</f>
        <v>26619.724459778303</v>
      </c>
      <c r="AG39" s="4">
        <f>IF('Rhaniad y Ddeiliadaeth (Cymru)'!$D$8="Amcangyfrifon LlC",'Incwm (Gogledd)'!H39,'Incwm (Gogledd)'!Z39)</f>
        <v>27596.721922976492</v>
      </c>
    </row>
    <row r="40" spans="2:33" x14ac:dyDescent="0.25">
      <c r="B40" s="20">
        <v>46</v>
      </c>
      <c r="C40" s="56">
        <v>24096.6</v>
      </c>
      <c r="D40" s="57">
        <f>C40*(1+'Rhaniad y Ddeiliadaeth (Gog)'!C$109)+(C$44*(-(50-$B40)*('Rhaniad y Ddeiliadaeth (Gog)'!C$110/40)))</f>
        <v>24923.609156995382</v>
      </c>
      <c r="E40" s="57">
        <f>D40*(1+'Rhaniad y Ddeiliadaeth (Gog)'!D$109)+(D$44*(-(50-$B40)*('Rhaniad y Ddeiliadaeth (Gog)'!D$110/40)))</f>
        <v>25538.05903468663</v>
      </c>
      <c r="F40" s="57">
        <f>E40*(1+'Rhaniad y Ddeiliadaeth (Gog)'!E$109)+(E$44*(-(50-$B40)*('Rhaniad y Ddeiliadaeth (Gog)'!E$110/40)))</f>
        <v>26348.740497253719</v>
      </c>
      <c r="G40" s="57">
        <f>F40*(1+'Rhaniad y Ddeiliadaeth (Gog)'!F$109)+(F$44*(-(50-$B40)*('Rhaniad y Ddeiliadaeth (Gog)'!F$110/40)))</f>
        <v>27297.975102061009</v>
      </c>
      <c r="H40" s="58">
        <f>G40*(1+'Rhaniad y Ddeiliadaeth (Gog)'!G$109)+(G$44*(-(50-$B40)*('Rhaniad y Ddeiliadaeth (Gog)'!G$110/40)))</f>
        <v>28308.029977926246</v>
      </c>
      <c r="L40" s="62" t="str">
        <f t="shared" si="0"/>
        <v/>
      </c>
      <c r="M40" s="227"/>
      <c r="N40" s="36">
        <f t="shared" si="3"/>
        <v>1</v>
      </c>
      <c r="T40" s="1">
        <f t="shared" si="1"/>
        <v>46</v>
      </c>
      <c r="U40" s="4" t="str">
        <f t="shared" si="2"/>
        <v/>
      </c>
      <c r="V40" s="4" t="e">
        <f>IF($V$3=$M$3,M40,U40*(1+'Rhaniad y Ddeiliadaeth (Gog)'!C$109)+(U$44*(-(50-$T40)*('Rhaniad y Ddeiliadaeth (Gog)'!C$110/40))))</f>
        <v>#VALUE!</v>
      </c>
      <c r="W40" s="4" t="e">
        <f>V40*(1+'Rhaniad y Ddeiliadaeth (Gog)'!D$109)+(V$44*(-(50-$T40)*('Rhaniad y Ddeiliadaeth (Gog)'!D$110/40)))</f>
        <v>#VALUE!</v>
      </c>
      <c r="X40" s="4" t="e">
        <f>W40*(1+'Rhaniad y Ddeiliadaeth (Gog)'!E$109)+(W$44*(-(50-$T40)*('Rhaniad y Ddeiliadaeth (Gog)'!E$110/40)))</f>
        <v>#VALUE!</v>
      </c>
      <c r="Y40" s="4" t="e">
        <f>X40*(1+'Rhaniad y Ddeiliadaeth (Gog)'!F$109)+(X$44*(-(50-$T40)*('Rhaniad y Ddeiliadaeth (Gog)'!F$110/40)))</f>
        <v>#VALUE!</v>
      </c>
      <c r="Z40" s="4" t="e">
        <f>Y40*(1+'Rhaniad y Ddeiliadaeth (Gog)'!G$109)+(Y$44*(-(50-$T40)*('Rhaniad y Ddeiliadaeth (Gog)'!G$110/40)))</f>
        <v>#VALUE!</v>
      </c>
      <c r="AB40" s="1">
        <v>46</v>
      </c>
      <c r="AC40" s="4">
        <f>IF('Rhaniad y Ddeiliadaeth (Cymru)'!$D$8="Amcangyfrifon LlC",'Incwm (Gogledd)'!D40,'Incwm (Gogledd)'!V40)</f>
        <v>24923.609156995382</v>
      </c>
      <c r="AD40" s="4">
        <f>IF('Rhaniad y Ddeiliadaeth (Cymru)'!$D$8="Amcangyfrifon LlC",'Incwm (Gogledd)'!E40,'Incwm (Gogledd)'!W40)</f>
        <v>25538.05903468663</v>
      </c>
      <c r="AE40" s="4">
        <f>IF('Rhaniad y Ddeiliadaeth (Cymru)'!$D$8="Amcangyfrifon LlC",'Incwm (Gogledd)'!F40,'Incwm (Gogledd)'!X40)</f>
        <v>26348.740497253719</v>
      </c>
      <c r="AF40" s="4">
        <f>IF('Rhaniad y Ddeiliadaeth (Cymru)'!$D$8="Amcangyfrifon LlC",'Incwm (Gogledd)'!G40,'Incwm (Gogledd)'!Y40)</f>
        <v>27297.975102061009</v>
      </c>
      <c r="AG40" s="4">
        <f>IF('Rhaniad y Ddeiliadaeth (Cymru)'!$D$8="Amcangyfrifon LlC",'Incwm (Gogledd)'!H40,'Incwm (Gogledd)'!Z40)</f>
        <v>28308.029977926246</v>
      </c>
    </row>
    <row r="41" spans="2:33" x14ac:dyDescent="0.25">
      <c r="B41" s="20">
        <v>47</v>
      </c>
      <c r="C41" s="56">
        <v>24606.400000000001</v>
      </c>
      <c r="D41" s="57">
        <f>C41*(1+'Rhaniad y Ddeiliadaeth (Gog)'!C$109)+(C$44*(-(50-$B41)*('Rhaniad y Ddeiliadaeth (Gog)'!C$110/40)))</f>
        <v>25457.81078647781</v>
      </c>
      <c r="E41" s="57">
        <f>D41*(1+'Rhaniad y Ddeiliadaeth (Gog)'!D$109)+(D$44*(-(50-$B41)*('Rhaniad y Ddeiliadaeth (Gog)'!D$110/40)))</f>
        <v>26092.587097292348</v>
      </c>
      <c r="F41" s="57">
        <f>E41*(1+'Rhaniad y Ddeiliadaeth (Gog)'!E$109)+(E$44*(-(50-$B41)*('Rhaniad y Ddeiliadaeth (Gog)'!E$110/40)))</f>
        <v>26928.219696033459</v>
      </c>
      <c r="G41" s="57">
        <f>F41*(1+'Rhaniad y Ddeiliadaeth (Gog)'!F$109)+(F$44*(-(50-$B41)*('Rhaniad y Ddeiliadaeth (Gog)'!F$110/40)))</f>
        <v>27905.927506081218</v>
      </c>
      <c r="H41" s="58">
        <f>G41*(1+'Rhaniad y Ddeiliadaeth (Gog)'!G$109)+(G$44*(-(50-$B41)*('Rhaniad y Ddeiliadaeth (Gog)'!G$110/40)))</f>
        <v>28946.364087387647</v>
      </c>
      <c r="L41" s="62" t="str">
        <f t="shared" si="0"/>
        <v/>
      </c>
      <c r="M41" s="227"/>
      <c r="N41" s="36">
        <f t="shared" si="3"/>
        <v>1</v>
      </c>
      <c r="T41" s="1">
        <f t="shared" si="1"/>
        <v>47</v>
      </c>
      <c r="U41" s="4" t="str">
        <f t="shared" si="2"/>
        <v/>
      </c>
      <c r="V41" s="4" t="e">
        <f>IF($V$3=$M$3,M41,U41*(1+'Rhaniad y Ddeiliadaeth (Gog)'!C$109)+(U$44*(-(50-$T41)*('Rhaniad y Ddeiliadaeth (Gog)'!C$110/40))))</f>
        <v>#VALUE!</v>
      </c>
      <c r="W41" s="4" t="e">
        <f>V41*(1+'Rhaniad y Ddeiliadaeth (Gog)'!D$109)+(V$44*(-(50-$T41)*('Rhaniad y Ddeiliadaeth (Gog)'!D$110/40)))</f>
        <v>#VALUE!</v>
      </c>
      <c r="X41" s="4" t="e">
        <f>W41*(1+'Rhaniad y Ddeiliadaeth (Gog)'!E$109)+(W$44*(-(50-$T41)*('Rhaniad y Ddeiliadaeth (Gog)'!E$110/40)))</f>
        <v>#VALUE!</v>
      </c>
      <c r="Y41" s="4" t="e">
        <f>X41*(1+'Rhaniad y Ddeiliadaeth (Gog)'!F$109)+(X$44*(-(50-$T41)*('Rhaniad y Ddeiliadaeth (Gog)'!F$110/40)))</f>
        <v>#VALUE!</v>
      </c>
      <c r="Z41" s="4" t="e">
        <f>Y41*(1+'Rhaniad y Ddeiliadaeth (Gog)'!G$109)+(Y$44*(-(50-$T41)*('Rhaniad y Ddeiliadaeth (Gog)'!G$110/40)))</f>
        <v>#VALUE!</v>
      </c>
      <c r="AB41" s="1">
        <v>47</v>
      </c>
      <c r="AC41" s="4">
        <f>IF('Rhaniad y Ddeiliadaeth (Cymru)'!$D$8="Amcangyfrifon LlC",'Incwm (Gogledd)'!D41,'Incwm (Gogledd)'!V41)</f>
        <v>25457.81078647781</v>
      </c>
      <c r="AD41" s="4">
        <f>IF('Rhaniad y Ddeiliadaeth (Cymru)'!$D$8="Amcangyfrifon LlC",'Incwm (Gogledd)'!E41,'Incwm (Gogledd)'!W41)</f>
        <v>26092.587097292348</v>
      </c>
      <c r="AE41" s="4">
        <f>IF('Rhaniad y Ddeiliadaeth (Cymru)'!$D$8="Amcangyfrifon LlC",'Incwm (Gogledd)'!F41,'Incwm (Gogledd)'!X41)</f>
        <v>26928.219696033459</v>
      </c>
      <c r="AF41" s="4">
        <f>IF('Rhaniad y Ddeiliadaeth (Cymru)'!$D$8="Amcangyfrifon LlC",'Incwm (Gogledd)'!G41,'Incwm (Gogledd)'!Y41)</f>
        <v>27905.927506081218</v>
      </c>
      <c r="AG41" s="4">
        <f>IF('Rhaniad y Ddeiliadaeth (Cymru)'!$D$8="Amcangyfrifon LlC",'Incwm (Gogledd)'!H41,'Incwm (Gogledd)'!Z41)</f>
        <v>28946.364087387647</v>
      </c>
    </row>
    <row r="42" spans="2:33" x14ac:dyDescent="0.25">
      <c r="B42" s="20">
        <v>48</v>
      </c>
      <c r="C42" s="56">
        <v>24932.5</v>
      </c>
      <c r="D42" s="57">
        <f>C42*(1+'Rhaniad y Ddeiliadaeth (Gog)'!C$109)+(C$44*(-(50-$B42)*('Rhaniad y Ddeiliadaeth (Gog)'!C$110/40)))</f>
        <v>25801.813594440191</v>
      </c>
      <c r="E42" s="57">
        <f>D42*(1+'Rhaniad y Ddeiliadaeth (Gog)'!D$109)+(D$44*(-(50-$B42)*('Rhaniad y Ddeiliadaeth (Gog)'!D$110/40)))</f>
        <v>26452.026099487648</v>
      </c>
      <c r="F42" s="57">
        <f>E42*(1+'Rhaniad y Ddeiliadaeth (Gog)'!E$109)+(E$44*(-(50-$B42)*('Rhaniad y Ddeiliadaeth (Gog)'!E$110/40)))</f>
        <v>27306.210325700762</v>
      </c>
      <c r="G42" s="57">
        <f>F42*(1+'Rhaniad y Ddeiliadaeth (Gog)'!F$109)+(F$44*(-(50-$B42)*('Rhaniad y Ddeiliadaeth (Gog)'!F$110/40)))</f>
        <v>28304.91896562211</v>
      </c>
      <c r="H42" s="58">
        <f>G42*(1+'Rhaniad y Ddeiliadaeth (Gog)'!G$109)+(G$44*(-(50-$B42)*('Rhaniad y Ddeiliadaeth (Gog)'!G$110/40)))</f>
        <v>29367.783734288991</v>
      </c>
      <c r="L42" s="62" t="str">
        <f t="shared" si="0"/>
        <v/>
      </c>
      <c r="M42" s="227"/>
      <c r="N42" s="36">
        <f t="shared" si="3"/>
        <v>1</v>
      </c>
      <c r="T42" s="1">
        <f t="shared" si="1"/>
        <v>48</v>
      </c>
      <c r="U42" s="4" t="str">
        <f t="shared" si="2"/>
        <v/>
      </c>
      <c r="V42" s="4" t="e">
        <f>IF($V$3=$M$3,M42,U42*(1+'Rhaniad y Ddeiliadaeth (Gog)'!C$109)+(U$44*(-(50-$T42)*('Rhaniad y Ddeiliadaeth (Gog)'!C$110/40))))</f>
        <v>#VALUE!</v>
      </c>
      <c r="W42" s="4" t="e">
        <f>V42*(1+'Rhaniad y Ddeiliadaeth (Gog)'!D$109)+(V$44*(-(50-$T42)*('Rhaniad y Ddeiliadaeth (Gog)'!D$110/40)))</f>
        <v>#VALUE!</v>
      </c>
      <c r="X42" s="4" t="e">
        <f>W42*(1+'Rhaniad y Ddeiliadaeth (Gog)'!E$109)+(W$44*(-(50-$T42)*('Rhaniad y Ddeiliadaeth (Gog)'!E$110/40)))</f>
        <v>#VALUE!</v>
      </c>
      <c r="Y42" s="4" t="e">
        <f>X42*(1+'Rhaniad y Ddeiliadaeth (Gog)'!F$109)+(X$44*(-(50-$T42)*('Rhaniad y Ddeiliadaeth (Gog)'!F$110/40)))</f>
        <v>#VALUE!</v>
      </c>
      <c r="Z42" s="4" t="e">
        <f>Y42*(1+'Rhaniad y Ddeiliadaeth (Gog)'!G$109)+(Y$44*(-(50-$T42)*('Rhaniad y Ddeiliadaeth (Gog)'!G$110/40)))</f>
        <v>#VALUE!</v>
      </c>
      <c r="AB42" s="1">
        <v>48</v>
      </c>
      <c r="AC42" s="4">
        <f>IF('Rhaniad y Ddeiliadaeth (Cymru)'!$D$8="Amcangyfrifon LlC",'Incwm (Gogledd)'!D42,'Incwm (Gogledd)'!V42)</f>
        <v>25801.813594440191</v>
      </c>
      <c r="AD42" s="4">
        <f>IF('Rhaniad y Ddeiliadaeth (Cymru)'!$D$8="Amcangyfrifon LlC",'Incwm (Gogledd)'!E42,'Incwm (Gogledd)'!W42)</f>
        <v>26452.026099487648</v>
      </c>
      <c r="AE42" s="4">
        <f>IF('Rhaniad y Ddeiliadaeth (Cymru)'!$D$8="Amcangyfrifon LlC",'Incwm (Gogledd)'!F42,'Incwm (Gogledd)'!X42)</f>
        <v>27306.210325700762</v>
      </c>
      <c r="AF42" s="4">
        <f>IF('Rhaniad y Ddeiliadaeth (Cymru)'!$D$8="Amcangyfrifon LlC",'Incwm (Gogledd)'!G42,'Incwm (Gogledd)'!Y42)</f>
        <v>28304.91896562211</v>
      </c>
      <c r="AG42" s="4">
        <f>IF('Rhaniad y Ddeiliadaeth (Cymru)'!$D$8="Amcangyfrifon LlC",'Incwm (Gogledd)'!H42,'Incwm (Gogledd)'!Z42)</f>
        <v>29367.783734288991</v>
      </c>
    </row>
    <row r="43" spans="2:33" x14ac:dyDescent="0.25">
      <c r="B43" s="20">
        <v>49</v>
      </c>
      <c r="C43" s="56">
        <v>25032.5</v>
      </c>
      <c r="D43" s="57">
        <f>C43*(1+'Rhaniad y Ddeiliadaeth (Gog)'!C$109)+(C$44*(-(50-$B43)*('Rhaniad y Ddeiliadaeth (Gog)'!C$110/40)))</f>
        <v>25911.717580705867</v>
      </c>
      <c r="E43" s="57">
        <f>D43*(1+'Rhaniad y Ddeiliadaeth (Gog)'!D$109)+(D$44*(-(50-$B43)*('Rhaniad y Ddeiliadaeth (Gog)'!D$110/40)))</f>
        <v>26571.347319653574</v>
      </c>
      <c r="F43" s="57">
        <f>E43*(1+'Rhaniad y Ddeiliadaeth (Gog)'!E$109)+(E$44*(-(50-$B43)*('Rhaniad y Ddeiliadaeth (Gog)'!E$110/40)))</f>
        <v>27436.2065869613</v>
      </c>
      <c r="G43" s="57">
        <f>F43*(1+'Rhaniad y Ddeiliadaeth (Gog)'!F$109)+(F$44*(-(50-$B43)*('Rhaniad y Ddeiliadaeth (Gog)'!F$110/40)))</f>
        <v>28446.718974173476</v>
      </c>
      <c r="H43" s="58">
        <f>G43*(1+'Rhaniad y Ddeiliadaeth (Gog)'!G$109)+(G$44*(-(50-$B43)*('Rhaniad y Ddeiliadaeth (Gog)'!G$110/40)))</f>
        <v>29522.222651822711</v>
      </c>
      <c r="L43" s="62" t="str">
        <f t="shared" si="0"/>
        <v/>
      </c>
      <c r="M43" s="227"/>
      <c r="N43" s="36">
        <f t="shared" si="3"/>
        <v>1</v>
      </c>
      <c r="T43" s="1">
        <f t="shared" si="1"/>
        <v>49</v>
      </c>
      <c r="U43" s="4" t="str">
        <f t="shared" si="2"/>
        <v/>
      </c>
      <c r="V43" s="4" t="e">
        <f>IF($V$3=$M$3,M43,U43*(1+'Rhaniad y Ddeiliadaeth (Gog)'!C$109)+(U$44*(-(50-$T43)*('Rhaniad y Ddeiliadaeth (Gog)'!C$110/40))))</f>
        <v>#VALUE!</v>
      </c>
      <c r="W43" s="4" t="e">
        <f>V43*(1+'Rhaniad y Ddeiliadaeth (Gog)'!D$109)+(V$44*(-(50-$T43)*('Rhaniad y Ddeiliadaeth (Gog)'!D$110/40)))</f>
        <v>#VALUE!</v>
      </c>
      <c r="X43" s="4" t="e">
        <f>W43*(1+'Rhaniad y Ddeiliadaeth (Gog)'!E$109)+(W$44*(-(50-$T43)*('Rhaniad y Ddeiliadaeth (Gog)'!E$110/40)))</f>
        <v>#VALUE!</v>
      </c>
      <c r="Y43" s="4" t="e">
        <f>X43*(1+'Rhaniad y Ddeiliadaeth (Gog)'!F$109)+(X$44*(-(50-$T43)*('Rhaniad y Ddeiliadaeth (Gog)'!F$110/40)))</f>
        <v>#VALUE!</v>
      </c>
      <c r="Z43" s="4" t="e">
        <f>Y43*(1+'Rhaniad y Ddeiliadaeth (Gog)'!G$109)+(Y$44*(-(50-$T43)*('Rhaniad y Ddeiliadaeth (Gog)'!G$110/40)))</f>
        <v>#VALUE!</v>
      </c>
      <c r="AB43" s="1">
        <v>49</v>
      </c>
      <c r="AC43" s="4">
        <f>IF('Rhaniad y Ddeiliadaeth (Cymru)'!$D$8="Amcangyfrifon LlC",'Incwm (Gogledd)'!D43,'Incwm (Gogledd)'!V43)</f>
        <v>25911.717580705867</v>
      </c>
      <c r="AD43" s="4">
        <f>IF('Rhaniad y Ddeiliadaeth (Cymru)'!$D$8="Amcangyfrifon LlC",'Incwm (Gogledd)'!E43,'Incwm (Gogledd)'!W43)</f>
        <v>26571.347319653574</v>
      </c>
      <c r="AE43" s="4">
        <f>IF('Rhaniad y Ddeiliadaeth (Cymru)'!$D$8="Amcangyfrifon LlC",'Incwm (Gogledd)'!F43,'Incwm (Gogledd)'!X43)</f>
        <v>27436.2065869613</v>
      </c>
      <c r="AF43" s="4">
        <f>IF('Rhaniad y Ddeiliadaeth (Cymru)'!$D$8="Amcangyfrifon LlC",'Incwm (Gogledd)'!G43,'Incwm (Gogledd)'!Y43)</f>
        <v>28446.718974173476</v>
      </c>
      <c r="AG43" s="4">
        <f>IF('Rhaniad y Ddeiliadaeth (Cymru)'!$D$8="Amcangyfrifon LlC",'Incwm (Gogledd)'!H43,'Incwm (Gogledd)'!Z43)</f>
        <v>29522.222651822711</v>
      </c>
    </row>
    <row r="44" spans="2:33" x14ac:dyDescent="0.25">
      <c r="B44" s="20">
        <v>50</v>
      </c>
      <c r="C44" s="56">
        <v>25465</v>
      </c>
      <c r="D44" s="57">
        <f>C44*(1+'Rhaniad y Ddeiliadaeth (Gog)'!C$109)+(C$44*(-(50-$B44)*('Rhaniad y Ddeiliadaeth (Gog)'!C$110/40)))</f>
        <v>26365.884540054925</v>
      </c>
      <c r="E44" s="57">
        <f>D44*(1+'Rhaniad y Ddeiliadaeth (Gog)'!D$109)+(D$44*(-(50-$B44)*('Rhaniad y Ddeiliadaeth (Gog)'!D$110/40)))</f>
        <v>27043.782925156815</v>
      </c>
      <c r="F44" s="57">
        <f>E44*(1+'Rhaniad y Ddeiliadaeth (Gog)'!E$109)+(E$44*(-(50-$B44)*('Rhaniad y Ddeiliadaeth (Gog)'!E$110/40)))</f>
        <v>27930.900448820023</v>
      </c>
      <c r="G44" s="57">
        <f>F44*(1+'Rhaniad y Ddeiliadaeth (Gog)'!F$109)+(F$44*(-(50-$B44)*('Rhaniad y Ddeiliadaeth (Gog)'!F$110/40)))</f>
        <v>28966.741704768257</v>
      </c>
      <c r="H44" s="58">
        <f>G44*(1+'Rhaniad y Ddeiliadaeth (Gog)'!G$109)+(G$44*(-(50-$B44)*('Rhaniad y Ddeiliadaeth (Gog)'!G$110/40)))</f>
        <v>30069.280289014696</v>
      </c>
      <c r="L44" s="62" t="str">
        <f t="shared" si="0"/>
        <v/>
      </c>
      <c r="M44" s="227"/>
      <c r="N44" s="36">
        <f t="shared" si="3"/>
        <v>1</v>
      </c>
      <c r="T44" s="1">
        <f t="shared" si="1"/>
        <v>50</v>
      </c>
      <c r="U44" s="4" t="str">
        <f t="shared" si="2"/>
        <v/>
      </c>
      <c r="V44" s="4" t="e">
        <f>IF($V$3=$M$3,M44,U44*(1+'Rhaniad y Ddeiliadaeth (Gog)'!C$109)+(U$44*(-(50-$T44)*('Rhaniad y Ddeiliadaeth (Gog)'!C$110/40))))</f>
        <v>#VALUE!</v>
      </c>
      <c r="W44" s="4" t="e">
        <f>V44*(1+'Rhaniad y Ddeiliadaeth (Gog)'!D$109)+(V$44*(-(50-$T44)*('Rhaniad y Ddeiliadaeth (Gog)'!D$110/40)))</f>
        <v>#VALUE!</v>
      </c>
      <c r="X44" s="4" t="e">
        <f>W44*(1+'Rhaniad y Ddeiliadaeth (Gog)'!E$109)+(W$44*(-(50-$T44)*('Rhaniad y Ddeiliadaeth (Gog)'!E$110/40)))</f>
        <v>#VALUE!</v>
      </c>
      <c r="Y44" s="4" t="e">
        <f>X44*(1+'Rhaniad y Ddeiliadaeth (Gog)'!F$109)+(X$44*(-(50-$T44)*('Rhaniad y Ddeiliadaeth (Gog)'!F$110/40)))</f>
        <v>#VALUE!</v>
      </c>
      <c r="Z44" s="4" t="e">
        <f>Y44*(1+'Rhaniad y Ddeiliadaeth (Gog)'!G$109)+(Y$44*(-(50-$T44)*('Rhaniad y Ddeiliadaeth (Gog)'!G$110/40)))</f>
        <v>#VALUE!</v>
      </c>
      <c r="AB44" s="1">
        <v>50</v>
      </c>
      <c r="AC44" s="4">
        <f>IF('Rhaniad y Ddeiliadaeth (Cymru)'!$D$8="Amcangyfrifon LlC",'Incwm (Gogledd)'!D44,'Incwm (Gogledd)'!V44)</f>
        <v>26365.884540054925</v>
      </c>
      <c r="AD44" s="4">
        <f>IF('Rhaniad y Ddeiliadaeth (Cymru)'!$D$8="Amcangyfrifon LlC",'Incwm (Gogledd)'!E44,'Incwm (Gogledd)'!W44)</f>
        <v>27043.782925156815</v>
      </c>
      <c r="AE44" s="4">
        <f>IF('Rhaniad y Ddeiliadaeth (Cymru)'!$D$8="Amcangyfrifon LlC",'Incwm (Gogledd)'!F44,'Incwm (Gogledd)'!X44)</f>
        <v>27930.900448820023</v>
      </c>
      <c r="AF44" s="4">
        <f>IF('Rhaniad y Ddeiliadaeth (Cymru)'!$D$8="Amcangyfrifon LlC",'Incwm (Gogledd)'!G44,'Incwm (Gogledd)'!Y44)</f>
        <v>28966.741704768257</v>
      </c>
      <c r="AG44" s="4">
        <f>IF('Rhaniad y Ddeiliadaeth (Cymru)'!$D$8="Amcangyfrifon LlC",'Incwm (Gogledd)'!H44,'Incwm (Gogledd)'!Z44)</f>
        <v>30069.280289014696</v>
      </c>
    </row>
    <row r="45" spans="2:33" x14ac:dyDescent="0.25">
      <c r="B45" s="20">
        <v>51</v>
      </c>
      <c r="C45" s="56">
        <v>26018.75</v>
      </c>
      <c r="D45" s="57">
        <f>C45*(1+'Rhaniad y Ddeiliadaeth (Gog)'!C$109)+(C$44*(-(50-$B45)*('Rhaniad y Ddeiliadaeth (Gog)'!C$110/40)))</f>
        <v>26945.591004626116</v>
      </c>
      <c r="E45" s="57">
        <f>D45*(1+'Rhaniad y Ddeiliadaeth (Gog)'!D$109)+(D$44*(-(50-$B45)*('Rhaniad y Ddeiliadaeth (Gog)'!D$110/40)))</f>
        <v>27644.985806516135</v>
      </c>
      <c r="F45" s="57">
        <f>E45*(1+'Rhaniad y Ddeiliadaeth (Gog)'!E$109)+(E$44*(-(50-$B45)*('Rhaniad y Ddeiliadaeth (Gog)'!E$110/40)))</f>
        <v>28558.585540972057</v>
      </c>
      <c r="G45" s="57">
        <f>F45*(1+'Rhaniad y Ddeiliadaeth (Gog)'!F$109)+(F$44*(-(50-$B45)*('Rhaniad y Ddeiliadaeth (Gog)'!F$110/40)))</f>
        <v>29624.687758814947</v>
      </c>
      <c r="H45" s="58">
        <f>G45*(1+'Rhaniad y Ddeiliadaeth (Gog)'!G$109)+(G$44*(-(50-$B45)*('Rhaniad y Ddeiliadaeth (Gog)'!G$110/40)))</f>
        <v>30759.510917961743</v>
      </c>
      <c r="L45" s="62" t="str">
        <f t="shared" si="0"/>
        <v/>
      </c>
      <c r="M45" s="227"/>
      <c r="N45" s="36">
        <f t="shared" si="3"/>
        <v>1</v>
      </c>
      <c r="T45" s="1">
        <f t="shared" si="1"/>
        <v>51</v>
      </c>
      <c r="U45" s="4" t="str">
        <f t="shared" si="2"/>
        <v/>
      </c>
      <c r="V45" s="4" t="e">
        <f>IF($V$3=$M$3,M45,U45*(1+'Rhaniad y Ddeiliadaeth (Gog)'!C$109)+(U$44*(-(50-$T45)*('Rhaniad y Ddeiliadaeth (Gog)'!C$110/40))))</f>
        <v>#VALUE!</v>
      </c>
      <c r="W45" s="4" t="e">
        <f>V45*(1+'Rhaniad y Ddeiliadaeth (Gog)'!D$109)+(V$44*(-(50-$T45)*('Rhaniad y Ddeiliadaeth (Gog)'!D$110/40)))</f>
        <v>#VALUE!</v>
      </c>
      <c r="X45" s="4" t="e">
        <f>W45*(1+'Rhaniad y Ddeiliadaeth (Gog)'!E$109)+(W$44*(-(50-$T45)*('Rhaniad y Ddeiliadaeth (Gog)'!E$110/40)))</f>
        <v>#VALUE!</v>
      </c>
      <c r="Y45" s="4" t="e">
        <f>X45*(1+'Rhaniad y Ddeiliadaeth (Gog)'!F$109)+(X$44*(-(50-$T45)*('Rhaniad y Ddeiliadaeth (Gog)'!F$110/40)))</f>
        <v>#VALUE!</v>
      </c>
      <c r="Z45" s="4" t="e">
        <f>Y45*(1+'Rhaniad y Ddeiliadaeth (Gog)'!G$109)+(Y$44*(-(50-$T45)*('Rhaniad y Ddeiliadaeth (Gog)'!G$110/40)))</f>
        <v>#VALUE!</v>
      </c>
      <c r="AB45" s="1">
        <v>51</v>
      </c>
      <c r="AC45" s="4">
        <f>IF('Rhaniad y Ddeiliadaeth (Cymru)'!$D$8="Amcangyfrifon LlC",'Incwm (Gogledd)'!D45,'Incwm (Gogledd)'!V45)</f>
        <v>26945.591004626116</v>
      </c>
      <c r="AD45" s="4">
        <f>IF('Rhaniad y Ddeiliadaeth (Cymru)'!$D$8="Amcangyfrifon LlC",'Incwm (Gogledd)'!E45,'Incwm (Gogledd)'!W45)</f>
        <v>27644.985806516135</v>
      </c>
      <c r="AE45" s="4">
        <f>IF('Rhaniad y Ddeiliadaeth (Cymru)'!$D$8="Amcangyfrifon LlC",'Incwm (Gogledd)'!F45,'Incwm (Gogledd)'!X45)</f>
        <v>28558.585540972057</v>
      </c>
      <c r="AF45" s="4">
        <f>IF('Rhaniad y Ddeiliadaeth (Cymru)'!$D$8="Amcangyfrifon LlC",'Incwm (Gogledd)'!G45,'Incwm (Gogledd)'!Y45)</f>
        <v>29624.687758814947</v>
      </c>
      <c r="AG45" s="4">
        <f>IF('Rhaniad y Ddeiliadaeth (Cymru)'!$D$8="Amcangyfrifon LlC",'Incwm (Gogledd)'!H45,'Incwm (Gogledd)'!Z45)</f>
        <v>30759.510917961743</v>
      </c>
    </row>
    <row r="46" spans="2:33" x14ac:dyDescent="0.25">
      <c r="B46" s="20">
        <v>52</v>
      </c>
      <c r="C46" s="56">
        <v>26347</v>
      </c>
      <c r="D46" s="57">
        <f>C46*(1+'Rhaniad y Ddeiliadaeth (Gog)'!C$109)+(C$44*(-(50-$B46)*('Rhaniad y Ddeiliadaeth (Gog)'!C$110/40)))</f>
        <v>27291.819873918201</v>
      </c>
      <c r="E46" s="57">
        <f>D46*(1+'Rhaniad y Ddeiliadaeth (Gog)'!D$109)+(D$44*(-(50-$B46)*('Rhaniad y Ddeiliadaeth (Gog)'!D$110/40)))</f>
        <v>28006.708104736921</v>
      </c>
      <c r="F46" s="57">
        <f>E46*(1+'Rhaniad y Ddeiliadaeth (Gog)'!E$109)+(E$44*(-(50-$B46)*('Rhaniad y Ddeiliadaeth (Gog)'!E$110/40)))</f>
        <v>28938.934365650741</v>
      </c>
      <c r="G46" s="57">
        <f>F46*(1+'Rhaniad y Ddeiliadaeth (Gog)'!F$109)+(F$44*(-(50-$B46)*('Rhaniad y Ddeiliadaeth (Gog)'!F$110/40)))</f>
        <v>30026.124869039719</v>
      </c>
      <c r="H46" s="58">
        <f>G46*(1+'Rhaniad y Ddeiliadaeth (Gog)'!G$109)+(G$44*(-(50-$B46)*('Rhaniad y Ddeiliadaeth (Gog)'!G$110/40)))</f>
        <v>31183.469302448833</v>
      </c>
      <c r="L46" s="62" t="str">
        <f t="shared" si="0"/>
        <v/>
      </c>
      <c r="M46" s="227"/>
      <c r="N46" s="36">
        <f t="shared" si="3"/>
        <v>1</v>
      </c>
      <c r="T46" s="1">
        <f t="shared" si="1"/>
        <v>52</v>
      </c>
      <c r="U46" s="4" t="str">
        <f t="shared" si="2"/>
        <v/>
      </c>
      <c r="V46" s="4" t="e">
        <f>IF($V$3=$M$3,M46,U46*(1+'Rhaniad y Ddeiliadaeth (Gog)'!C$109)+(U$44*(-(50-$T46)*('Rhaniad y Ddeiliadaeth (Gog)'!C$110/40))))</f>
        <v>#VALUE!</v>
      </c>
      <c r="W46" s="4" t="e">
        <f>V46*(1+'Rhaniad y Ddeiliadaeth (Gog)'!D$109)+(V$44*(-(50-$T46)*('Rhaniad y Ddeiliadaeth (Gog)'!D$110/40)))</f>
        <v>#VALUE!</v>
      </c>
      <c r="X46" s="4" t="e">
        <f>W46*(1+'Rhaniad y Ddeiliadaeth (Gog)'!E$109)+(W$44*(-(50-$T46)*('Rhaniad y Ddeiliadaeth (Gog)'!E$110/40)))</f>
        <v>#VALUE!</v>
      </c>
      <c r="Y46" s="4" t="e">
        <f>X46*(1+'Rhaniad y Ddeiliadaeth (Gog)'!F$109)+(X$44*(-(50-$T46)*('Rhaniad y Ddeiliadaeth (Gog)'!F$110/40)))</f>
        <v>#VALUE!</v>
      </c>
      <c r="Z46" s="4" t="e">
        <f>Y46*(1+'Rhaniad y Ddeiliadaeth (Gog)'!G$109)+(Y$44*(-(50-$T46)*('Rhaniad y Ddeiliadaeth (Gog)'!G$110/40)))</f>
        <v>#VALUE!</v>
      </c>
      <c r="AB46" s="1">
        <v>52</v>
      </c>
      <c r="AC46" s="4">
        <f>IF('Rhaniad y Ddeiliadaeth (Cymru)'!$D$8="Amcangyfrifon LlC",'Incwm (Gogledd)'!D46,'Incwm (Gogledd)'!V46)</f>
        <v>27291.819873918201</v>
      </c>
      <c r="AD46" s="4">
        <f>IF('Rhaniad y Ddeiliadaeth (Cymru)'!$D$8="Amcangyfrifon LlC",'Incwm (Gogledd)'!E46,'Incwm (Gogledd)'!W46)</f>
        <v>28006.708104736921</v>
      </c>
      <c r="AE46" s="4">
        <f>IF('Rhaniad y Ddeiliadaeth (Cymru)'!$D$8="Amcangyfrifon LlC",'Incwm (Gogledd)'!F46,'Incwm (Gogledd)'!X46)</f>
        <v>28938.934365650741</v>
      </c>
      <c r="AF46" s="4">
        <f>IF('Rhaniad y Ddeiliadaeth (Cymru)'!$D$8="Amcangyfrifon LlC",'Incwm (Gogledd)'!G46,'Incwm (Gogledd)'!Y46)</f>
        <v>30026.124869039719</v>
      </c>
      <c r="AG46" s="4">
        <f>IF('Rhaniad y Ddeiliadaeth (Cymru)'!$D$8="Amcangyfrifon LlC",'Incwm (Gogledd)'!H46,'Incwm (Gogledd)'!Z46)</f>
        <v>31183.469302448833</v>
      </c>
    </row>
    <row r="47" spans="2:33" x14ac:dyDescent="0.25">
      <c r="B47" s="20">
        <v>53</v>
      </c>
      <c r="C47" s="56">
        <v>26794</v>
      </c>
      <c r="D47" s="57">
        <f>C47*(1+'Rhaniad y Ddeiliadaeth (Gog)'!C$109)+(C$44*(-(50-$B47)*('Rhaniad y Ddeiliadaeth (Gog)'!C$110/40)))</f>
        <v>27760.999805025785</v>
      </c>
      <c r="E47" s="57">
        <f>D47*(1+'Rhaniad y Ddeiliadaeth (Gog)'!D$109)+(D$44*(-(50-$B47)*('Rhaniad y Ddeiliadaeth (Gog)'!D$110/40)))</f>
        <v>28494.542683435324</v>
      </c>
      <c r="F47" s="57">
        <f>E47*(1+'Rhaniad y Ddeiliadaeth (Gog)'!E$109)+(E$44*(-(50-$B47)*('Rhaniad y Ddeiliadaeth (Gog)'!E$110/40)))</f>
        <v>29449.532333400213</v>
      </c>
      <c r="G47" s="57">
        <f>F47*(1+'Rhaniad y Ddeiliadaeth (Gog)'!F$109)+(F$44*(-(50-$B47)*('Rhaniad y Ddeiliadaeth (Gog)'!F$110/40)))</f>
        <v>30562.641522851438</v>
      </c>
      <c r="H47" s="58">
        <f>G47*(1+'Rhaniad y Ddeiliadaeth (Gog)'!G$109)+(G$44*(-(50-$B47)*('Rhaniad y Ddeiliadaeth (Gog)'!G$110/40)))</f>
        <v>31747.648658242462</v>
      </c>
      <c r="L47" s="62" t="str">
        <f t="shared" si="0"/>
        <v/>
      </c>
      <c r="M47" s="227"/>
      <c r="N47" s="36">
        <f t="shared" si="3"/>
        <v>1</v>
      </c>
      <c r="T47" s="1">
        <f t="shared" si="1"/>
        <v>53</v>
      </c>
      <c r="U47" s="4" t="str">
        <f t="shared" si="2"/>
        <v/>
      </c>
      <c r="V47" s="4" t="e">
        <f>IF($V$3=$M$3,M47,U47*(1+'Rhaniad y Ddeiliadaeth (Gog)'!C$109)+(U$44*(-(50-$T47)*('Rhaniad y Ddeiliadaeth (Gog)'!C$110/40))))</f>
        <v>#VALUE!</v>
      </c>
      <c r="W47" s="4" t="e">
        <f>V47*(1+'Rhaniad y Ddeiliadaeth (Gog)'!D$109)+(V$44*(-(50-$T47)*('Rhaniad y Ddeiliadaeth (Gog)'!D$110/40)))</f>
        <v>#VALUE!</v>
      </c>
      <c r="X47" s="4" t="e">
        <f>W47*(1+'Rhaniad y Ddeiliadaeth (Gog)'!E$109)+(W$44*(-(50-$T47)*('Rhaniad y Ddeiliadaeth (Gog)'!E$110/40)))</f>
        <v>#VALUE!</v>
      </c>
      <c r="Y47" s="4" t="e">
        <f>X47*(1+'Rhaniad y Ddeiliadaeth (Gog)'!F$109)+(X$44*(-(50-$T47)*('Rhaniad y Ddeiliadaeth (Gog)'!F$110/40)))</f>
        <v>#VALUE!</v>
      </c>
      <c r="Z47" s="4" t="e">
        <f>Y47*(1+'Rhaniad y Ddeiliadaeth (Gog)'!G$109)+(Y$44*(-(50-$T47)*('Rhaniad y Ddeiliadaeth (Gog)'!G$110/40)))</f>
        <v>#VALUE!</v>
      </c>
      <c r="AB47" s="1">
        <v>53</v>
      </c>
      <c r="AC47" s="4">
        <f>IF('Rhaniad y Ddeiliadaeth (Cymru)'!$D$8="Amcangyfrifon LlC",'Incwm (Gogledd)'!D47,'Incwm (Gogledd)'!V47)</f>
        <v>27760.999805025785</v>
      </c>
      <c r="AD47" s="4">
        <f>IF('Rhaniad y Ddeiliadaeth (Cymru)'!$D$8="Amcangyfrifon LlC",'Incwm (Gogledd)'!E47,'Incwm (Gogledd)'!W47)</f>
        <v>28494.542683435324</v>
      </c>
      <c r="AE47" s="4">
        <f>IF('Rhaniad y Ddeiliadaeth (Cymru)'!$D$8="Amcangyfrifon LlC",'Incwm (Gogledd)'!F47,'Incwm (Gogledd)'!X47)</f>
        <v>29449.532333400213</v>
      </c>
      <c r="AF47" s="4">
        <f>IF('Rhaniad y Ddeiliadaeth (Cymru)'!$D$8="Amcangyfrifon LlC",'Incwm (Gogledd)'!G47,'Incwm (Gogledd)'!Y47)</f>
        <v>30562.641522851438</v>
      </c>
      <c r="AG47" s="4">
        <f>IF('Rhaniad y Ddeiliadaeth (Cymru)'!$D$8="Amcangyfrifon LlC",'Incwm (Gogledd)'!H47,'Incwm (Gogledd)'!Z47)</f>
        <v>31747.648658242462</v>
      </c>
    </row>
    <row r="48" spans="2:33" x14ac:dyDescent="0.25">
      <c r="B48" s="20">
        <v>54</v>
      </c>
      <c r="C48" s="56">
        <v>27162.5</v>
      </c>
      <c r="D48" s="57">
        <f>C48*(1+'Rhaniad y Ddeiliadaeth (Gog)'!C$109)+(C$44*(-(50-$B48)*('Rhaniad y Ddeiliadaeth (Gog)'!C$110/40)))</f>
        <v>28148.90261316481</v>
      </c>
      <c r="E48" s="57">
        <f>D48*(1+'Rhaniad y Ddeiliadaeth (Gog)'!D$109)+(D$44*(-(50-$B48)*('Rhaniad y Ddeiliadaeth (Gog)'!D$110/40)))</f>
        <v>28899.010407249574</v>
      </c>
      <c r="F48" s="57">
        <f>E48*(1+'Rhaniad y Ddeiliadaeth (Gog)'!E$109)+(E$44*(-(50-$B48)*('Rhaniad y Ddeiliadaeth (Gog)'!E$110/40)))</f>
        <v>29874.028762361835</v>
      </c>
      <c r="G48" s="57">
        <f>F48*(1+'Rhaniad y Ddeiliadaeth (Gog)'!F$109)+(F$44*(-(50-$B48)*('Rhaniad y Ddeiliadaeth (Gog)'!F$110/40)))</f>
        <v>31009.863488902516</v>
      </c>
      <c r="H48" s="58">
        <f>G48*(1+'Rhaniad y Ddeiliadaeth (Gog)'!G$109)+(G$44*(-(50-$B48)*('Rhaniad y Ddeiliadaeth (Gog)'!G$110/40)))</f>
        <v>32219.134571951337</v>
      </c>
      <c r="L48" s="62" t="str">
        <f t="shared" si="0"/>
        <v/>
      </c>
      <c r="M48" s="227"/>
      <c r="N48" s="36">
        <f t="shared" si="3"/>
        <v>1</v>
      </c>
      <c r="T48" s="1">
        <f t="shared" si="1"/>
        <v>54</v>
      </c>
      <c r="U48" s="4" t="str">
        <f t="shared" si="2"/>
        <v/>
      </c>
      <c r="V48" s="4" t="e">
        <f>IF($V$3=$M$3,M48,U48*(1+'Rhaniad y Ddeiliadaeth (Gog)'!C$109)+(U$44*(-(50-$T48)*('Rhaniad y Ddeiliadaeth (Gog)'!C$110/40))))</f>
        <v>#VALUE!</v>
      </c>
      <c r="W48" s="4" t="e">
        <f>V48*(1+'Rhaniad y Ddeiliadaeth (Gog)'!D$109)+(V$44*(-(50-$T48)*('Rhaniad y Ddeiliadaeth (Gog)'!D$110/40)))</f>
        <v>#VALUE!</v>
      </c>
      <c r="X48" s="4" t="e">
        <f>W48*(1+'Rhaniad y Ddeiliadaeth (Gog)'!E$109)+(W$44*(-(50-$T48)*('Rhaniad y Ddeiliadaeth (Gog)'!E$110/40)))</f>
        <v>#VALUE!</v>
      </c>
      <c r="Y48" s="4" t="e">
        <f>X48*(1+'Rhaniad y Ddeiliadaeth (Gog)'!F$109)+(X$44*(-(50-$T48)*('Rhaniad y Ddeiliadaeth (Gog)'!F$110/40)))</f>
        <v>#VALUE!</v>
      </c>
      <c r="Z48" s="4" t="e">
        <f>Y48*(1+'Rhaniad y Ddeiliadaeth (Gog)'!G$109)+(Y$44*(-(50-$T48)*('Rhaniad y Ddeiliadaeth (Gog)'!G$110/40)))</f>
        <v>#VALUE!</v>
      </c>
      <c r="AB48" s="1">
        <v>54</v>
      </c>
      <c r="AC48" s="4">
        <f>IF('Rhaniad y Ddeiliadaeth (Cymru)'!$D$8="Amcangyfrifon LlC",'Incwm (Gogledd)'!D48,'Incwm (Gogledd)'!V48)</f>
        <v>28148.90261316481</v>
      </c>
      <c r="AD48" s="4">
        <f>IF('Rhaniad y Ddeiliadaeth (Cymru)'!$D$8="Amcangyfrifon LlC",'Incwm (Gogledd)'!E48,'Incwm (Gogledd)'!W48)</f>
        <v>28899.010407249574</v>
      </c>
      <c r="AE48" s="4">
        <f>IF('Rhaniad y Ddeiliadaeth (Cymru)'!$D$8="Amcangyfrifon LlC",'Incwm (Gogledd)'!F48,'Incwm (Gogledd)'!X48)</f>
        <v>29874.028762361835</v>
      </c>
      <c r="AF48" s="4">
        <f>IF('Rhaniad y Ddeiliadaeth (Cymru)'!$D$8="Amcangyfrifon LlC",'Incwm (Gogledd)'!G48,'Incwm (Gogledd)'!Y48)</f>
        <v>31009.863488902516</v>
      </c>
      <c r="AG48" s="4">
        <f>IF('Rhaniad y Ddeiliadaeth (Cymru)'!$D$8="Amcangyfrifon LlC",'Incwm (Gogledd)'!H48,'Incwm (Gogledd)'!Z48)</f>
        <v>32219.134571951337</v>
      </c>
    </row>
    <row r="49" spans="2:33" x14ac:dyDescent="0.25">
      <c r="B49" s="20">
        <v>55</v>
      </c>
      <c r="C49" s="56">
        <v>27870.92</v>
      </c>
      <c r="D49" s="57">
        <f>C49*(1+'Rhaniad y Ddeiliadaeth (Gog)'!C$109)+(C$44*(-(50-$B49)*('Rhaniad y Ddeiliadaeth (Gog)'!C$110/40)))</f>
        <v>28888.750894418125</v>
      </c>
      <c r="E49" s="57">
        <f>D49*(1+'Rhaniad y Ddeiliadaeth (Gog)'!D$109)+(D$44*(-(50-$B49)*('Rhaniad y Ddeiliadaeth (Gog)'!D$110/40)))</f>
        <v>29664.472542684456</v>
      </c>
      <c r="F49" s="57">
        <f>E49*(1+'Rhaniad y Ddeiliadaeth (Gog)'!E$109)+(E$44*(-(50-$B49)*('Rhaniad y Ddeiliadaeth (Gog)'!E$110/40)))</f>
        <v>30671.36130679815</v>
      </c>
      <c r="G49" s="57">
        <f>F49*(1+'Rhaniad y Ddeiliadaeth (Gog)'!F$109)+(F$44*(-(50-$B49)*('Rhaniad y Ddeiliadaeth (Gog)'!F$110/40)))</f>
        <v>31843.748515636296</v>
      </c>
      <c r="H49" s="58">
        <f>G49*(1+'Rhaniad y Ddeiliadaeth (Gog)'!G$109)+(G$44*(-(50-$B49)*('Rhaniad y Ddeiliadaeth (Gog)'!G$110/40)))</f>
        <v>33092.000802009796</v>
      </c>
      <c r="L49" s="62" t="str">
        <f t="shared" si="0"/>
        <v/>
      </c>
      <c r="M49" s="227"/>
      <c r="N49" s="36">
        <f t="shared" si="3"/>
        <v>1</v>
      </c>
      <c r="T49" s="1">
        <f t="shared" si="1"/>
        <v>55</v>
      </c>
      <c r="U49" s="4" t="str">
        <f t="shared" si="2"/>
        <v/>
      </c>
      <c r="V49" s="4" t="e">
        <f>IF($V$3=$M$3,M49,U49*(1+'Rhaniad y Ddeiliadaeth (Gog)'!C$109)+(U$44*(-(50-$T49)*('Rhaniad y Ddeiliadaeth (Gog)'!C$110/40))))</f>
        <v>#VALUE!</v>
      </c>
      <c r="W49" s="4" t="e">
        <f>V49*(1+'Rhaniad y Ddeiliadaeth (Gog)'!D$109)+(V$44*(-(50-$T49)*('Rhaniad y Ddeiliadaeth (Gog)'!D$110/40)))</f>
        <v>#VALUE!</v>
      </c>
      <c r="X49" s="4" t="e">
        <f>W49*(1+'Rhaniad y Ddeiliadaeth (Gog)'!E$109)+(W$44*(-(50-$T49)*('Rhaniad y Ddeiliadaeth (Gog)'!E$110/40)))</f>
        <v>#VALUE!</v>
      </c>
      <c r="Y49" s="4" t="e">
        <f>X49*(1+'Rhaniad y Ddeiliadaeth (Gog)'!F$109)+(X$44*(-(50-$T49)*('Rhaniad y Ddeiliadaeth (Gog)'!F$110/40)))</f>
        <v>#VALUE!</v>
      </c>
      <c r="Z49" s="4" t="e">
        <f>Y49*(1+'Rhaniad y Ddeiliadaeth (Gog)'!G$109)+(Y$44*(-(50-$T49)*('Rhaniad y Ddeiliadaeth (Gog)'!G$110/40)))</f>
        <v>#VALUE!</v>
      </c>
      <c r="AB49" s="1">
        <v>55</v>
      </c>
      <c r="AC49" s="4">
        <f>IF('Rhaniad y Ddeiliadaeth (Cymru)'!$D$8="Amcangyfrifon LlC",'Incwm (Gogledd)'!D49,'Incwm (Gogledd)'!V49)</f>
        <v>28888.750894418125</v>
      </c>
      <c r="AD49" s="4">
        <f>IF('Rhaniad y Ddeiliadaeth (Cymru)'!$D$8="Amcangyfrifon LlC",'Incwm (Gogledd)'!E49,'Incwm (Gogledd)'!W49)</f>
        <v>29664.472542684456</v>
      </c>
      <c r="AE49" s="4">
        <f>IF('Rhaniad y Ddeiliadaeth (Cymru)'!$D$8="Amcangyfrifon LlC",'Incwm (Gogledd)'!F49,'Incwm (Gogledd)'!X49)</f>
        <v>30671.36130679815</v>
      </c>
      <c r="AF49" s="4">
        <f>IF('Rhaniad y Ddeiliadaeth (Cymru)'!$D$8="Amcangyfrifon LlC",'Incwm (Gogledd)'!G49,'Incwm (Gogledd)'!Y49)</f>
        <v>31843.748515636296</v>
      </c>
      <c r="AG49" s="4">
        <f>IF('Rhaniad y Ddeiliadaeth (Cymru)'!$D$8="Amcangyfrifon LlC",'Incwm (Gogledd)'!H49,'Incwm (Gogledd)'!Z49)</f>
        <v>33092.000802009796</v>
      </c>
    </row>
    <row r="50" spans="2:33" x14ac:dyDescent="0.25">
      <c r="B50" s="20">
        <v>56</v>
      </c>
      <c r="C50" s="56">
        <v>28762</v>
      </c>
      <c r="D50" s="57">
        <f>C50*(1+'Rhaniad y Ddeiliadaeth (Gog)'!C$109)+(C$44*(-(50-$B50)*('Rhaniad y Ddeiliadaeth (Gog)'!C$110/40)))</f>
        <v>29817.721204734327</v>
      </c>
      <c r="E50" s="57">
        <f>D50*(1+'Rhaniad y Ddeiliadaeth (Gog)'!D$109)+(D$44*(-(50-$B50)*('Rhaniad y Ddeiliadaeth (Gog)'!D$110/40)))</f>
        <v>30623.919260452305</v>
      </c>
      <c r="F50" s="57">
        <f>E50*(1+'Rhaniad y Ddeiliadaeth (Gog)'!E$109)+(E$44*(-(50-$B50)*('Rhaniad y Ddeiliadaeth (Gog)'!E$110/40)))</f>
        <v>31669.041712062317</v>
      </c>
      <c r="G50" s="57">
        <f>F50*(1+'Rhaniad y Ddeiliadaeth (Gog)'!F$109)+(F$44*(-(50-$B50)*('Rhaniad y Ddeiliadaeth (Gog)'!F$110/40)))</f>
        <v>32885.411474425557</v>
      </c>
      <c r="H50" s="58">
        <f>G50*(1+'Rhaniad y Ddeiliadaeth (Gog)'!G$109)+(G$44*(-(50-$B50)*('Rhaniad y Ddeiliadaeth (Gog)'!G$110/40)))</f>
        <v>34180.55345412172</v>
      </c>
      <c r="L50" s="62" t="str">
        <f t="shared" si="0"/>
        <v/>
      </c>
      <c r="M50" s="227"/>
      <c r="N50" s="36">
        <f t="shared" si="3"/>
        <v>1</v>
      </c>
      <c r="T50" s="1">
        <f t="shared" si="1"/>
        <v>56</v>
      </c>
      <c r="U50" s="4" t="str">
        <f t="shared" si="2"/>
        <v/>
      </c>
      <c r="V50" s="4" t="e">
        <f>IF($V$3=$M$3,M50,U50*(1+'Rhaniad y Ddeiliadaeth (Gog)'!C$109)+(U$44*(-(50-$T50)*('Rhaniad y Ddeiliadaeth (Gog)'!C$110/40))))</f>
        <v>#VALUE!</v>
      </c>
      <c r="W50" s="4" t="e">
        <f>V50*(1+'Rhaniad y Ddeiliadaeth (Gog)'!D$109)+(V$44*(-(50-$T50)*('Rhaniad y Ddeiliadaeth (Gog)'!D$110/40)))</f>
        <v>#VALUE!</v>
      </c>
      <c r="X50" s="4" t="e">
        <f>W50*(1+'Rhaniad y Ddeiliadaeth (Gog)'!E$109)+(W$44*(-(50-$T50)*('Rhaniad y Ddeiliadaeth (Gog)'!E$110/40)))</f>
        <v>#VALUE!</v>
      </c>
      <c r="Y50" s="4" t="e">
        <f>X50*(1+'Rhaniad y Ddeiliadaeth (Gog)'!F$109)+(X$44*(-(50-$T50)*('Rhaniad y Ddeiliadaeth (Gog)'!F$110/40)))</f>
        <v>#VALUE!</v>
      </c>
      <c r="Z50" s="4" t="e">
        <f>Y50*(1+'Rhaniad y Ddeiliadaeth (Gog)'!G$109)+(Y$44*(-(50-$T50)*('Rhaniad y Ddeiliadaeth (Gog)'!G$110/40)))</f>
        <v>#VALUE!</v>
      </c>
      <c r="AB50" s="1">
        <v>56</v>
      </c>
      <c r="AC50" s="4">
        <f>IF('Rhaniad y Ddeiliadaeth (Cymru)'!$D$8="Amcangyfrifon LlC",'Incwm (Gogledd)'!D50,'Incwm (Gogledd)'!V50)</f>
        <v>29817.721204734327</v>
      </c>
      <c r="AD50" s="4">
        <f>IF('Rhaniad y Ddeiliadaeth (Cymru)'!$D$8="Amcangyfrifon LlC",'Incwm (Gogledd)'!E50,'Incwm (Gogledd)'!W50)</f>
        <v>30623.919260452305</v>
      </c>
      <c r="AE50" s="4">
        <f>IF('Rhaniad y Ddeiliadaeth (Cymru)'!$D$8="Amcangyfrifon LlC",'Incwm (Gogledd)'!F50,'Incwm (Gogledd)'!X50)</f>
        <v>31669.041712062317</v>
      </c>
      <c r="AF50" s="4">
        <f>IF('Rhaniad y Ddeiliadaeth (Cymru)'!$D$8="Amcangyfrifon LlC",'Incwm (Gogledd)'!G50,'Incwm (Gogledd)'!Y50)</f>
        <v>32885.411474425557</v>
      </c>
      <c r="AG50" s="4">
        <f>IF('Rhaniad y Ddeiliadaeth (Cymru)'!$D$8="Amcangyfrifon LlC",'Incwm (Gogledd)'!H50,'Incwm (Gogledd)'!Z50)</f>
        <v>34180.55345412172</v>
      </c>
    </row>
    <row r="51" spans="2:33" x14ac:dyDescent="0.25">
      <c r="B51" s="20">
        <v>57</v>
      </c>
      <c r="C51" s="56">
        <v>29564</v>
      </c>
      <c r="D51" s="57">
        <f>C51*(1+'Rhaniad y Ddeiliadaeth (Gog)'!C$109)+(C$44*(-(50-$B51)*('Rhaniad y Ddeiliadaeth (Gog)'!C$110/40)))</f>
        <v>30654.460099585071</v>
      </c>
      <c r="E51" s="57">
        <f>D51*(1+'Rhaniad y Ddeiliadaeth (Gog)'!D$109)+(D$44*(-(50-$B51)*('Rhaniad y Ddeiliadaeth (Gog)'!D$110/40)))</f>
        <v>31488.763182894309</v>
      </c>
      <c r="F51" s="57">
        <f>E51*(1+'Rhaniad y Ddeiliadaeth (Gog)'!E$109)+(E$44*(-(50-$B51)*('Rhaniad y Ddeiliadaeth (Gog)'!E$110/40)))</f>
        <v>32569.016065412859</v>
      </c>
      <c r="G51" s="57">
        <f>F51*(1+'Rhaniad y Ddeiliadaeth (Gog)'!F$109)+(F$44*(-(50-$B51)*('Rhaniad y Ddeiliadaeth (Gog)'!F$110/40)))</f>
        <v>33825.74486906558</v>
      </c>
      <c r="H51" s="58">
        <f>G51*(1+'Rhaniad y Ddeiliadaeth (Gog)'!G$109)+(G$44*(-(50-$B51)*('Rhaniad y Ddeiliadaeth (Gog)'!G$110/40)))</f>
        <v>35163.919713610623</v>
      </c>
      <c r="L51" s="62" t="str">
        <f t="shared" si="0"/>
        <v/>
      </c>
      <c r="M51" s="227"/>
      <c r="N51" s="36">
        <f t="shared" si="3"/>
        <v>1</v>
      </c>
      <c r="T51" s="1">
        <f t="shared" si="1"/>
        <v>57</v>
      </c>
      <c r="U51" s="4" t="str">
        <f t="shared" si="2"/>
        <v/>
      </c>
      <c r="V51" s="4" t="e">
        <f>IF($V$3=$M$3,M51,U51*(1+'Rhaniad y Ddeiliadaeth (Gog)'!C$109)+(U$44*(-(50-$T51)*('Rhaniad y Ddeiliadaeth (Gog)'!C$110/40))))</f>
        <v>#VALUE!</v>
      </c>
      <c r="W51" s="4" t="e">
        <f>V51*(1+'Rhaniad y Ddeiliadaeth (Gog)'!D$109)+(V$44*(-(50-$T51)*('Rhaniad y Ddeiliadaeth (Gog)'!D$110/40)))</f>
        <v>#VALUE!</v>
      </c>
      <c r="X51" s="4" t="e">
        <f>W51*(1+'Rhaniad y Ddeiliadaeth (Gog)'!E$109)+(W$44*(-(50-$T51)*('Rhaniad y Ddeiliadaeth (Gog)'!E$110/40)))</f>
        <v>#VALUE!</v>
      </c>
      <c r="Y51" s="4" t="e">
        <f>X51*(1+'Rhaniad y Ddeiliadaeth (Gog)'!F$109)+(X$44*(-(50-$T51)*('Rhaniad y Ddeiliadaeth (Gog)'!F$110/40)))</f>
        <v>#VALUE!</v>
      </c>
      <c r="Z51" s="4" t="e">
        <f>Y51*(1+'Rhaniad y Ddeiliadaeth (Gog)'!G$109)+(Y$44*(-(50-$T51)*('Rhaniad y Ddeiliadaeth (Gog)'!G$110/40)))</f>
        <v>#VALUE!</v>
      </c>
      <c r="AB51" s="1">
        <v>57</v>
      </c>
      <c r="AC51" s="4">
        <f>IF('Rhaniad y Ddeiliadaeth (Cymru)'!$D$8="Amcangyfrifon LlC",'Incwm (Gogledd)'!D51,'Incwm (Gogledd)'!V51)</f>
        <v>30654.460099585071</v>
      </c>
      <c r="AD51" s="4">
        <f>IF('Rhaniad y Ddeiliadaeth (Cymru)'!$D$8="Amcangyfrifon LlC",'Incwm (Gogledd)'!E51,'Incwm (Gogledd)'!W51)</f>
        <v>31488.763182894309</v>
      </c>
      <c r="AE51" s="4">
        <f>IF('Rhaniad y Ddeiliadaeth (Cymru)'!$D$8="Amcangyfrifon LlC",'Incwm (Gogledd)'!F51,'Incwm (Gogledd)'!X51)</f>
        <v>32569.016065412859</v>
      </c>
      <c r="AF51" s="4">
        <f>IF('Rhaniad y Ddeiliadaeth (Cymru)'!$D$8="Amcangyfrifon LlC",'Incwm (Gogledd)'!G51,'Incwm (Gogledd)'!Y51)</f>
        <v>33825.74486906558</v>
      </c>
      <c r="AG51" s="4">
        <f>IF('Rhaniad y Ddeiliadaeth (Cymru)'!$D$8="Amcangyfrifon LlC",'Incwm (Gogledd)'!H51,'Incwm (Gogledd)'!Z51)</f>
        <v>35163.919713610623</v>
      </c>
    </row>
    <row r="52" spans="2:33" x14ac:dyDescent="0.25">
      <c r="B52" s="20">
        <v>58</v>
      </c>
      <c r="C52" s="56">
        <v>30239.25</v>
      </c>
      <c r="D52" s="57">
        <f>C52*(1+'Rhaniad y Ddeiliadaeth (Gog)'!C$109)+(C$44*(-(50-$B52)*('Rhaniad y Ddeiliadaeth (Gog)'!C$110/40)))</f>
        <v>31359.964913719061</v>
      </c>
      <c r="E52" s="57">
        <f>D52*(1+'Rhaniad y Ddeiliadaeth (Gog)'!D$109)+(D$44*(-(50-$B52)*('Rhaniad y Ddeiliadaeth (Gog)'!D$110/40)))</f>
        <v>32218.998839647564</v>
      </c>
      <c r="F52" s="57">
        <f>E52*(1+'Rhaniad y Ddeiliadaeth (Gog)'!E$109)+(E$44*(-(50-$B52)*('Rhaniad y Ddeiliadaeth (Gog)'!E$110/40)))</f>
        <v>33329.966596580467</v>
      </c>
      <c r="G52" s="57">
        <f>F52*(1+'Rhaniad y Ddeiliadaeth (Gog)'!F$109)+(F$44*(-(50-$B52)*('Rhaniad y Ddeiliadaeth (Gog)'!F$110/40)))</f>
        <v>34621.898624550689</v>
      </c>
      <c r="H52" s="58">
        <f>G52*(1+'Rhaniad y Ddeiliadaeth (Gog)'!G$109)+(G$44*(-(50-$B52)*('Rhaniad y Ddeiliadaeth (Gog)'!G$110/40)))</f>
        <v>35997.618536357601</v>
      </c>
      <c r="L52" s="62" t="str">
        <f t="shared" si="0"/>
        <v/>
      </c>
      <c r="M52" s="227"/>
      <c r="N52" s="36">
        <f t="shared" si="3"/>
        <v>1</v>
      </c>
      <c r="T52" s="1">
        <f t="shared" si="1"/>
        <v>58</v>
      </c>
      <c r="U52" s="4" t="str">
        <f t="shared" si="2"/>
        <v/>
      </c>
      <c r="V52" s="4" t="e">
        <f>IF($V$3=$M$3,M52,U52*(1+'Rhaniad y Ddeiliadaeth (Gog)'!C$109)+(U$44*(-(50-$T52)*('Rhaniad y Ddeiliadaeth (Gog)'!C$110/40))))</f>
        <v>#VALUE!</v>
      </c>
      <c r="W52" s="4" t="e">
        <f>V52*(1+'Rhaniad y Ddeiliadaeth (Gog)'!D$109)+(V$44*(-(50-$T52)*('Rhaniad y Ddeiliadaeth (Gog)'!D$110/40)))</f>
        <v>#VALUE!</v>
      </c>
      <c r="X52" s="4" t="e">
        <f>W52*(1+'Rhaniad y Ddeiliadaeth (Gog)'!E$109)+(W$44*(-(50-$T52)*('Rhaniad y Ddeiliadaeth (Gog)'!E$110/40)))</f>
        <v>#VALUE!</v>
      </c>
      <c r="Y52" s="4" t="e">
        <f>X52*(1+'Rhaniad y Ddeiliadaeth (Gog)'!F$109)+(X$44*(-(50-$T52)*('Rhaniad y Ddeiliadaeth (Gog)'!F$110/40)))</f>
        <v>#VALUE!</v>
      </c>
      <c r="Z52" s="4" t="e">
        <f>Y52*(1+'Rhaniad y Ddeiliadaeth (Gog)'!G$109)+(Y$44*(-(50-$T52)*('Rhaniad y Ddeiliadaeth (Gog)'!G$110/40)))</f>
        <v>#VALUE!</v>
      </c>
      <c r="AB52" s="1">
        <v>58</v>
      </c>
      <c r="AC52" s="4">
        <f>IF('Rhaniad y Ddeiliadaeth (Cymru)'!$D$8="Amcangyfrifon LlC",'Incwm (Gogledd)'!D52,'Incwm (Gogledd)'!V52)</f>
        <v>31359.964913719061</v>
      </c>
      <c r="AD52" s="4">
        <f>IF('Rhaniad y Ddeiliadaeth (Cymru)'!$D$8="Amcangyfrifon LlC",'Incwm (Gogledd)'!E52,'Incwm (Gogledd)'!W52)</f>
        <v>32218.998839647564</v>
      </c>
      <c r="AE52" s="4">
        <f>IF('Rhaniad y Ddeiliadaeth (Cymru)'!$D$8="Amcangyfrifon LlC",'Incwm (Gogledd)'!F52,'Incwm (Gogledd)'!X52)</f>
        <v>33329.966596580467</v>
      </c>
      <c r="AF52" s="4">
        <f>IF('Rhaniad y Ddeiliadaeth (Cymru)'!$D$8="Amcangyfrifon LlC",'Incwm (Gogledd)'!G52,'Incwm (Gogledd)'!Y52)</f>
        <v>34621.898624550689</v>
      </c>
      <c r="AG52" s="4">
        <f>IF('Rhaniad y Ddeiliadaeth (Cymru)'!$D$8="Amcangyfrifon LlC",'Incwm (Gogledd)'!H52,'Incwm (Gogledd)'!Z52)</f>
        <v>35997.618536357601</v>
      </c>
    </row>
    <row r="53" spans="2:33" x14ac:dyDescent="0.25">
      <c r="B53" s="20">
        <v>59</v>
      </c>
      <c r="C53" s="56">
        <v>30823</v>
      </c>
      <c r="D53" s="57">
        <f>C53*(1+'Rhaniad y Ddeiliadaeth (Gog)'!C$109)+(C$44*(-(50-$B53)*('Rhaniad y Ddeiliadaeth (Gog)'!C$110/40)))</f>
        <v>31970.732699169956</v>
      </c>
      <c r="E53" s="57">
        <f>D53*(1+'Rhaniad y Ddeiliadaeth (Gog)'!D$109)+(D$44*(-(50-$B53)*('Rhaniad y Ddeiliadaeth (Gog)'!D$110/40)))</f>
        <v>32852.061665548601</v>
      </c>
      <c r="F53" s="57">
        <f>E53*(1+'Rhaniad y Ddeiliadaeth (Gog)'!E$109)+(E$44*(-(50-$B53)*('Rhaniad y Ddeiliadaeth (Gog)'!E$110/40)))</f>
        <v>33990.556735403021</v>
      </c>
      <c r="G53" s="57">
        <f>F53*(1+'Rhaniad y Ddeiliadaeth (Gog)'!F$109)+(F$44*(-(50-$B53)*('Rhaniad y Ddeiliadaeth (Gog)'!F$110/40)))</f>
        <v>35313.97003697724</v>
      </c>
      <c r="H53" s="58">
        <f>G53*(1+'Rhaniad y Ddeiliadaeth (Gog)'!G$109)+(G$44*(-(50-$B53)*('Rhaniad y Ddeiliadaeth (Gog)'!G$110/40)))</f>
        <v>36723.273410687347</v>
      </c>
      <c r="L53" s="62" t="str">
        <f t="shared" si="0"/>
        <v/>
      </c>
      <c r="M53" s="227"/>
      <c r="N53" s="36">
        <f t="shared" si="3"/>
        <v>1</v>
      </c>
      <c r="T53" s="1">
        <f t="shared" si="1"/>
        <v>59</v>
      </c>
      <c r="U53" s="4" t="str">
        <f t="shared" si="2"/>
        <v/>
      </c>
      <c r="V53" s="4" t="e">
        <f>IF($V$3=$M$3,M53,U53*(1+'Rhaniad y Ddeiliadaeth (Gog)'!C$109)+(U$44*(-(50-$T53)*('Rhaniad y Ddeiliadaeth (Gog)'!C$110/40))))</f>
        <v>#VALUE!</v>
      </c>
      <c r="W53" s="4" t="e">
        <f>V53*(1+'Rhaniad y Ddeiliadaeth (Gog)'!D$109)+(V$44*(-(50-$T53)*('Rhaniad y Ddeiliadaeth (Gog)'!D$110/40)))</f>
        <v>#VALUE!</v>
      </c>
      <c r="X53" s="4" t="e">
        <f>W53*(1+'Rhaniad y Ddeiliadaeth (Gog)'!E$109)+(W$44*(-(50-$T53)*('Rhaniad y Ddeiliadaeth (Gog)'!E$110/40)))</f>
        <v>#VALUE!</v>
      </c>
      <c r="Y53" s="4" t="e">
        <f>X53*(1+'Rhaniad y Ddeiliadaeth (Gog)'!F$109)+(X$44*(-(50-$T53)*('Rhaniad y Ddeiliadaeth (Gog)'!F$110/40)))</f>
        <v>#VALUE!</v>
      </c>
      <c r="Z53" s="4" t="e">
        <f>Y53*(1+'Rhaniad y Ddeiliadaeth (Gog)'!G$109)+(Y$44*(-(50-$T53)*('Rhaniad y Ddeiliadaeth (Gog)'!G$110/40)))</f>
        <v>#VALUE!</v>
      </c>
      <c r="AB53" s="1">
        <v>59</v>
      </c>
      <c r="AC53" s="4">
        <f>IF('Rhaniad y Ddeiliadaeth (Cymru)'!$D$8="Amcangyfrifon LlC",'Incwm (Gogledd)'!D53,'Incwm (Gogledd)'!V53)</f>
        <v>31970.732699169956</v>
      </c>
      <c r="AD53" s="4">
        <f>IF('Rhaniad y Ddeiliadaeth (Cymru)'!$D$8="Amcangyfrifon LlC",'Incwm (Gogledd)'!E53,'Incwm (Gogledd)'!W53)</f>
        <v>32852.061665548601</v>
      </c>
      <c r="AE53" s="4">
        <f>IF('Rhaniad y Ddeiliadaeth (Cymru)'!$D$8="Amcangyfrifon LlC",'Incwm (Gogledd)'!F53,'Incwm (Gogledd)'!X53)</f>
        <v>33990.556735403021</v>
      </c>
      <c r="AF53" s="4">
        <f>IF('Rhaniad y Ddeiliadaeth (Cymru)'!$D$8="Amcangyfrifon LlC",'Incwm (Gogledd)'!G53,'Incwm (Gogledd)'!Y53)</f>
        <v>35313.97003697724</v>
      </c>
      <c r="AG53" s="4">
        <f>IF('Rhaniad y Ddeiliadaeth (Cymru)'!$D$8="Amcangyfrifon LlC",'Incwm (Gogledd)'!H53,'Incwm (Gogledd)'!Z53)</f>
        <v>36723.273410687347</v>
      </c>
    </row>
    <row r="54" spans="2:33" x14ac:dyDescent="0.25">
      <c r="B54" s="20">
        <v>60</v>
      </c>
      <c r="C54" s="56">
        <v>31335.35</v>
      </c>
      <c r="D54" s="57">
        <f>C54*(1+'Rhaniad y Ddeiliadaeth (Gog)'!C$109)+(C$44*(-(50-$B54)*('Rhaniad y Ddeiliadaeth (Gog)'!C$110/40)))</f>
        <v>32507.574540927155</v>
      </c>
      <c r="E54" s="57">
        <f>D54*(1+'Rhaniad y Ddeiliadaeth (Gog)'!D$109)+(D$44*(-(50-$B54)*('Rhaniad y Ddeiliadaeth (Gog)'!D$110/40)))</f>
        <v>33409.297823440364</v>
      </c>
      <c r="F54" s="57">
        <f>E54*(1+'Rhaniad y Ddeiliadaeth (Gog)'!E$109)+(E$44*(-(50-$B54)*('Rhaniad y Ddeiliadaeth (Gog)'!E$110/40)))</f>
        <v>34572.832863149757</v>
      </c>
      <c r="G54" s="57">
        <f>F54*(1+'Rhaniad y Ddeiliadaeth (Gog)'!F$109)+(F$44*(-(50-$B54)*('Rhaniad y Ddeiliadaeth (Gog)'!F$110/40)))</f>
        <v>35924.823096459739</v>
      </c>
      <c r="H54" s="58">
        <f>G54*(1+'Rhaniad y Ddeiliadaeth (Gog)'!G$109)+(G$44*(-(50-$B54)*('Rhaniad y Ddeiliadaeth (Gog)'!G$110/40)))</f>
        <v>37364.618581006282</v>
      </c>
      <c r="L54" s="62" t="str">
        <f t="shared" si="0"/>
        <v/>
      </c>
      <c r="M54" s="227"/>
      <c r="N54" s="36">
        <f t="shared" si="3"/>
        <v>1</v>
      </c>
      <c r="T54" s="1">
        <f t="shared" si="1"/>
        <v>60</v>
      </c>
      <c r="U54" s="4" t="str">
        <f t="shared" si="2"/>
        <v/>
      </c>
      <c r="V54" s="4" t="e">
        <f>IF($V$3=$M$3,M54,U54*(1+'Rhaniad y Ddeiliadaeth (Gog)'!C$109)+(U$44*(-(50-$T54)*('Rhaniad y Ddeiliadaeth (Gog)'!C$110/40))))</f>
        <v>#VALUE!</v>
      </c>
      <c r="W54" s="4" t="e">
        <f>V54*(1+'Rhaniad y Ddeiliadaeth (Gog)'!D$109)+(V$44*(-(50-$T54)*('Rhaniad y Ddeiliadaeth (Gog)'!D$110/40)))</f>
        <v>#VALUE!</v>
      </c>
      <c r="X54" s="4" t="e">
        <f>W54*(1+'Rhaniad y Ddeiliadaeth (Gog)'!E$109)+(W$44*(-(50-$T54)*('Rhaniad y Ddeiliadaeth (Gog)'!E$110/40)))</f>
        <v>#VALUE!</v>
      </c>
      <c r="Y54" s="4" t="e">
        <f>X54*(1+'Rhaniad y Ddeiliadaeth (Gog)'!F$109)+(X$44*(-(50-$T54)*('Rhaniad y Ddeiliadaeth (Gog)'!F$110/40)))</f>
        <v>#VALUE!</v>
      </c>
      <c r="Z54" s="4" t="e">
        <f>Y54*(1+'Rhaniad y Ddeiliadaeth (Gog)'!G$109)+(Y$44*(-(50-$T54)*('Rhaniad y Ddeiliadaeth (Gog)'!G$110/40)))</f>
        <v>#VALUE!</v>
      </c>
      <c r="AB54" s="1">
        <v>60</v>
      </c>
      <c r="AC54" s="4">
        <f>IF('Rhaniad y Ddeiliadaeth (Cymru)'!$D$8="Amcangyfrifon LlC",'Incwm (Gogledd)'!D54,'Incwm (Gogledd)'!V54)</f>
        <v>32507.574540927155</v>
      </c>
      <c r="AD54" s="4">
        <f>IF('Rhaniad y Ddeiliadaeth (Cymru)'!$D$8="Amcangyfrifon LlC",'Incwm (Gogledd)'!E54,'Incwm (Gogledd)'!W54)</f>
        <v>33409.297823440364</v>
      </c>
      <c r="AE54" s="4">
        <f>IF('Rhaniad y Ddeiliadaeth (Cymru)'!$D$8="Amcangyfrifon LlC",'Incwm (Gogledd)'!F54,'Incwm (Gogledd)'!X54)</f>
        <v>34572.832863149757</v>
      </c>
      <c r="AF54" s="4">
        <f>IF('Rhaniad y Ddeiliadaeth (Cymru)'!$D$8="Amcangyfrifon LlC",'Incwm (Gogledd)'!G54,'Incwm (Gogledd)'!Y54)</f>
        <v>35924.823096459739</v>
      </c>
      <c r="AG54" s="4">
        <f>IF('Rhaniad y Ddeiliadaeth (Cymru)'!$D$8="Amcangyfrifon LlC",'Incwm (Gogledd)'!H54,'Incwm (Gogledd)'!Z54)</f>
        <v>37364.618581006282</v>
      </c>
    </row>
    <row r="55" spans="2:33" x14ac:dyDescent="0.25">
      <c r="B55" s="20">
        <v>61</v>
      </c>
      <c r="C55" s="56">
        <v>31771</v>
      </c>
      <c r="D55" s="57">
        <f>C55*(1+'Rhaniad y Ddeiliadaeth (Gog)'!C$109)+(C$44*(-(50-$B55)*('Rhaniad y Ddeiliadaeth (Gog)'!C$110/40)))</f>
        <v>32965.002938968581</v>
      </c>
      <c r="E55" s="57">
        <f>D55*(1+'Rhaniad y Ddeiliadaeth (Gog)'!D$109)+(D$44*(-(50-$B55)*('Rhaniad y Ddeiliadaeth (Gog)'!D$110/40)))</f>
        <v>33885.078723120481</v>
      </c>
      <c r="F55" s="57">
        <f>E55*(1+'Rhaniad y Ddeiliadaeth (Gog)'!E$109)+(E$44*(-(50-$B55)*('Rhaniad y Ddeiliadaeth (Gog)'!E$110/40)))</f>
        <v>35070.981754908877</v>
      </c>
      <c r="G55" s="57">
        <f>F55*(1+'Rhaniad y Ddeiliadaeth (Gog)'!F$109)+(F$44*(-(50-$B55)*('Rhaniad y Ddeiliadaeth (Gog)'!F$110/40)))</f>
        <v>36448.428989684398</v>
      </c>
      <c r="H55" s="58">
        <f>G55*(1+'Rhaniad y Ddeiliadaeth (Gog)'!G$109)+(G$44*(-(50-$B55)*('Rhaniad y Ddeiliadaeth (Gog)'!G$110/40)))</f>
        <v>37915.395763963439</v>
      </c>
      <c r="L55" s="62" t="str">
        <f t="shared" si="0"/>
        <v/>
      </c>
      <c r="M55" s="227"/>
      <c r="N55" s="36">
        <f t="shared" si="3"/>
        <v>1</v>
      </c>
      <c r="T55" s="1">
        <f t="shared" si="1"/>
        <v>61</v>
      </c>
      <c r="U55" s="4" t="str">
        <f t="shared" si="2"/>
        <v/>
      </c>
      <c r="V55" s="4" t="e">
        <f>IF($V$3=$M$3,M55,U55*(1+'Rhaniad y Ddeiliadaeth (Gog)'!C$109)+(U$44*(-(50-$T55)*('Rhaniad y Ddeiliadaeth (Gog)'!C$110/40))))</f>
        <v>#VALUE!</v>
      </c>
      <c r="W55" s="4" t="e">
        <f>V55*(1+'Rhaniad y Ddeiliadaeth (Gog)'!D$109)+(V$44*(-(50-$T55)*('Rhaniad y Ddeiliadaeth (Gog)'!D$110/40)))</f>
        <v>#VALUE!</v>
      </c>
      <c r="X55" s="4" t="e">
        <f>W55*(1+'Rhaniad y Ddeiliadaeth (Gog)'!E$109)+(W$44*(-(50-$T55)*('Rhaniad y Ddeiliadaeth (Gog)'!E$110/40)))</f>
        <v>#VALUE!</v>
      </c>
      <c r="Y55" s="4" t="e">
        <f>X55*(1+'Rhaniad y Ddeiliadaeth (Gog)'!F$109)+(X$44*(-(50-$T55)*('Rhaniad y Ddeiliadaeth (Gog)'!F$110/40)))</f>
        <v>#VALUE!</v>
      </c>
      <c r="Z55" s="4" t="e">
        <f>Y55*(1+'Rhaniad y Ddeiliadaeth (Gog)'!G$109)+(Y$44*(-(50-$T55)*('Rhaniad y Ddeiliadaeth (Gog)'!G$110/40)))</f>
        <v>#VALUE!</v>
      </c>
      <c r="AB55" s="1">
        <v>61</v>
      </c>
      <c r="AC55" s="4">
        <f>IF('Rhaniad y Ddeiliadaeth (Cymru)'!$D$8="Amcangyfrifon LlC",'Incwm (Gogledd)'!D55,'Incwm (Gogledd)'!V55)</f>
        <v>32965.002938968581</v>
      </c>
      <c r="AD55" s="4">
        <f>IF('Rhaniad y Ddeiliadaeth (Cymru)'!$D$8="Amcangyfrifon LlC",'Incwm (Gogledd)'!E55,'Incwm (Gogledd)'!W55)</f>
        <v>33885.078723120481</v>
      </c>
      <c r="AE55" s="4">
        <f>IF('Rhaniad y Ddeiliadaeth (Cymru)'!$D$8="Amcangyfrifon LlC",'Incwm (Gogledd)'!F55,'Incwm (Gogledd)'!X55)</f>
        <v>35070.981754908877</v>
      </c>
      <c r="AF55" s="4">
        <f>IF('Rhaniad y Ddeiliadaeth (Cymru)'!$D$8="Amcangyfrifon LlC",'Incwm (Gogledd)'!G55,'Incwm (Gogledd)'!Y55)</f>
        <v>36448.428989684398</v>
      </c>
      <c r="AG55" s="4">
        <f>IF('Rhaniad y Ddeiliadaeth (Cymru)'!$D$8="Amcangyfrifon LlC",'Incwm (Gogledd)'!H55,'Incwm (Gogledd)'!Z55)</f>
        <v>37915.395763963439</v>
      </c>
    </row>
    <row r="56" spans="2:33" x14ac:dyDescent="0.25">
      <c r="B56" s="20">
        <v>62</v>
      </c>
      <c r="C56" s="56">
        <v>32514.2</v>
      </c>
      <c r="D56" s="57">
        <f>C56*(1+'Rhaniad y Ddeiliadaeth (Gog)'!C$109)+(C$44*(-(50-$B56)*('Rhaniad y Ddeiliadaeth (Gog)'!C$110/40)))</f>
        <v>33740.8616448951</v>
      </c>
      <c r="E56" s="57">
        <f>D56*(1+'Rhaniad y Ddeiliadaeth (Gog)'!D$109)+(D$44*(-(50-$B56)*('Rhaniad y Ddeiliadaeth (Gog)'!D$110/40)))</f>
        <v>34687.477154260712</v>
      </c>
      <c r="F56" s="57">
        <f>E56*(1+'Rhaniad y Ddeiliadaeth (Gog)'!E$109)+(E$44*(-(50-$B56)*('Rhaniad y Ddeiliadaeth (Gog)'!E$110/40)))</f>
        <v>35906.462216785192</v>
      </c>
      <c r="G56" s="57">
        <f>F56*(1+'Rhaniad y Ddeiliadaeth (Gog)'!F$109)+(F$44*(-(50-$B56)*('Rhaniad y Ddeiliadaeth (Gog)'!F$110/40)))</f>
        <v>37321.876681899877</v>
      </c>
      <c r="H56" s="58">
        <f>G56*(1+'Rhaniad y Ddeiliadaeth (Gog)'!G$109)+(G$44*(-(50-$B56)*('Rhaniad y Ddeiliadaeth (Gog)'!G$110/40)))</f>
        <v>38829.330502502227</v>
      </c>
      <c r="L56" s="62" t="str">
        <f t="shared" si="0"/>
        <v/>
      </c>
      <c r="M56" s="227"/>
      <c r="N56" s="36">
        <f t="shared" si="3"/>
        <v>1</v>
      </c>
      <c r="T56" s="1">
        <f t="shared" si="1"/>
        <v>62</v>
      </c>
      <c r="U56" s="4" t="str">
        <f t="shared" si="2"/>
        <v/>
      </c>
      <c r="V56" s="4" t="e">
        <f>IF($V$3=$M$3,M56,U56*(1+'Rhaniad y Ddeiliadaeth (Gog)'!C$109)+(U$44*(-(50-$T56)*('Rhaniad y Ddeiliadaeth (Gog)'!C$110/40))))</f>
        <v>#VALUE!</v>
      </c>
      <c r="W56" s="4" t="e">
        <f>V56*(1+'Rhaniad y Ddeiliadaeth (Gog)'!D$109)+(V$44*(-(50-$T56)*('Rhaniad y Ddeiliadaeth (Gog)'!D$110/40)))</f>
        <v>#VALUE!</v>
      </c>
      <c r="X56" s="4" t="e">
        <f>W56*(1+'Rhaniad y Ddeiliadaeth (Gog)'!E$109)+(W$44*(-(50-$T56)*('Rhaniad y Ddeiliadaeth (Gog)'!E$110/40)))</f>
        <v>#VALUE!</v>
      </c>
      <c r="Y56" s="4" t="e">
        <f>X56*(1+'Rhaniad y Ddeiliadaeth (Gog)'!F$109)+(X$44*(-(50-$T56)*('Rhaniad y Ddeiliadaeth (Gog)'!F$110/40)))</f>
        <v>#VALUE!</v>
      </c>
      <c r="Z56" s="4" t="e">
        <f>Y56*(1+'Rhaniad y Ddeiliadaeth (Gog)'!G$109)+(Y$44*(-(50-$T56)*('Rhaniad y Ddeiliadaeth (Gog)'!G$110/40)))</f>
        <v>#VALUE!</v>
      </c>
      <c r="AB56" s="1">
        <v>62</v>
      </c>
      <c r="AC56" s="4">
        <f>IF('Rhaniad y Ddeiliadaeth (Cymru)'!$D$8="Amcangyfrifon LlC",'Incwm (Gogledd)'!D56,'Incwm (Gogledd)'!V56)</f>
        <v>33740.8616448951</v>
      </c>
      <c r="AD56" s="4">
        <f>IF('Rhaniad y Ddeiliadaeth (Cymru)'!$D$8="Amcangyfrifon LlC",'Incwm (Gogledd)'!E56,'Incwm (Gogledd)'!W56)</f>
        <v>34687.477154260712</v>
      </c>
      <c r="AE56" s="4">
        <f>IF('Rhaniad y Ddeiliadaeth (Cymru)'!$D$8="Amcangyfrifon LlC",'Incwm (Gogledd)'!F56,'Incwm (Gogledd)'!X56)</f>
        <v>35906.462216785192</v>
      </c>
      <c r="AF56" s="4">
        <f>IF('Rhaniad y Ddeiliadaeth (Cymru)'!$D$8="Amcangyfrifon LlC",'Incwm (Gogledd)'!G56,'Incwm (Gogledd)'!Y56)</f>
        <v>37321.876681899877</v>
      </c>
      <c r="AG56" s="4">
        <f>IF('Rhaniad y Ddeiliadaeth (Cymru)'!$D$8="Amcangyfrifon LlC",'Incwm (Gogledd)'!H56,'Incwm (Gogledd)'!Z56)</f>
        <v>38829.330502502227</v>
      </c>
    </row>
    <row r="57" spans="2:33" x14ac:dyDescent="0.25">
      <c r="B57" s="20">
        <v>63</v>
      </c>
      <c r="C57" s="56">
        <v>33343.699999999997</v>
      </c>
      <c r="D57" s="57">
        <f>C57*(1+'Rhaniad y Ddeiliadaeth (Gog)'!C$109)+(C$44*(-(50-$B57)*('Rhaniad y Ddeiliadaeth (Gog)'!C$110/40)))</f>
        <v>34606.073417218904</v>
      </c>
      <c r="E57" s="57">
        <f>D57*(1+'Rhaniad y Ddeiliadaeth (Gog)'!D$109)+(D$44*(-(50-$B57)*('Rhaniad y Ddeiliadaeth (Gog)'!D$110/40)))</f>
        <v>35581.526025865947</v>
      </c>
      <c r="F57" s="57">
        <f>E57*(1+'Rhaniad y Ddeiliadaeth (Gog)'!E$109)+(E$44*(-(50-$B57)*('Rhaniad y Ddeiliadaeth (Gog)'!E$110/40)))</f>
        <v>36836.599529583698</v>
      </c>
      <c r="G57" s="57">
        <f>F57*(1+'Rhaniad y Ddeiliadaeth (Gog)'!F$109)+(F$44*(-(50-$B57)*('Rhaniad y Ddeiliadaeth (Gog)'!F$110/40)))</f>
        <v>38293.491655054764</v>
      </c>
      <c r="H57" s="58">
        <f>G57*(1+'Rhaniad y Ddeiliadaeth (Gog)'!G$109)+(G$44*(-(50-$B57)*('Rhaniad y Ddeiliadaeth (Gog)'!G$110/40)))</f>
        <v>39845.168986925273</v>
      </c>
      <c r="L57" s="62" t="str">
        <f t="shared" si="0"/>
        <v/>
      </c>
      <c r="M57" s="227"/>
      <c r="N57" s="36">
        <f t="shared" si="3"/>
        <v>1</v>
      </c>
      <c r="T57" s="1">
        <f t="shared" si="1"/>
        <v>63</v>
      </c>
      <c r="U57" s="4" t="str">
        <f t="shared" si="2"/>
        <v/>
      </c>
      <c r="V57" s="4" t="e">
        <f>IF($V$3=$M$3,M57,U57*(1+'Rhaniad y Ddeiliadaeth (Gog)'!C$109)+(U$44*(-(50-$T57)*('Rhaniad y Ddeiliadaeth (Gog)'!C$110/40))))</f>
        <v>#VALUE!</v>
      </c>
      <c r="W57" s="4" t="e">
        <f>V57*(1+'Rhaniad y Ddeiliadaeth (Gog)'!D$109)+(V$44*(-(50-$T57)*('Rhaniad y Ddeiliadaeth (Gog)'!D$110/40)))</f>
        <v>#VALUE!</v>
      </c>
      <c r="X57" s="4" t="e">
        <f>W57*(1+'Rhaniad y Ddeiliadaeth (Gog)'!E$109)+(W$44*(-(50-$T57)*('Rhaniad y Ddeiliadaeth (Gog)'!E$110/40)))</f>
        <v>#VALUE!</v>
      </c>
      <c r="Y57" s="4" t="e">
        <f>X57*(1+'Rhaniad y Ddeiliadaeth (Gog)'!F$109)+(X$44*(-(50-$T57)*('Rhaniad y Ddeiliadaeth (Gog)'!F$110/40)))</f>
        <v>#VALUE!</v>
      </c>
      <c r="Z57" s="4" t="e">
        <f>Y57*(1+'Rhaniad y Ddeiliadaeth (Gog)'!G$109)+(Y$44*(-(50-$T57)*('Rhaniad y Ddeiliadaeth (Gog)'!G$110/40)))</f>
        <v>#VALUE!</v>
      </c>
      <c r="AB57" s="1">
        <v>63</v>
      </c>
      <c r="AC57" s="4">
        <f>IF('Rhaniad y Ddeiliadaeth (Cymru)'!$D$8="Amcangyfrifon LlC",'Incwm (Gogledd)'!D57,'Incwm (Gogledd)'!V57)</f>
        <v>34606.073417218904</v>
      </c>
      <c r="AD57" s="4">
        <f>IF('Rhaniad y Ddeiliadaeth (Cymru)'!$D$8="Amcangyfrifon LlC",'Incwm (Gogledd)'!E57,'Incwm (Gogledd)'!W57)</f>
        <v>35581.526025865947</v>
      </c>
      <c r="AE57" s="4">
        <f>IF('Rhaniad y Ddeiliadaeth (Cymru)'!$D$8="Amcangyfrifon LlC",'Incwm (Gogledd)'!F57,'Incwm (Gogledd)'!X57)</f>
        <v>36836.599529583698</v>
      </c>
      <c r="AF57" s="4">
        <f>IF('Rhaniad y Ddeiliadaeth (Cymru)'!$D$8="Amcangyfrifon LlC",'Incwm (Gogledd)'!G57,'Incwm (Gogledd)'!Y57)</f>
        <v>38293.491655054764</v>
      </c>
      <c r="AG57" s="4">
        <f>IF('Rhaniad y Ddeiliadaeth (Cymru)'!$D$8="Amcangyfrifon LlC",'Incwm (Gogledd)'!H57,'Incwm (Gogledd)'!Z57)</f>
        <v>39845.168986925273</v>
      </c>
    </row>
    <row r="58" spans="2:33" x14ac:dyDescent="0.25">
      <c r="B58" s="20">
        <v>64</v>
      </c>
      <c r="C58" s="56">
        <v>34206.199999999997</v>
      </c>
      <c r="D58" s="57">
        <f>C58*(1+'Rhaniad y Ddeiliadaeth (Gog)'!C$109)+(C$44*(-(50-$B58)*('Rhaniad y Ddeiliadaeth (Gog)'!C$110/40)))</f>
        <v>35505.452642510376</v>
      </c>
      <c r="E58" s="57">
        <f>D58*(1+'Rhaniad y Ddeiliadaeth (Gog)'!D$109)+(D$44*(-(50-$B58)*('Rhaniad y Ddeiliadaeth (Gog)'!D$110/40)))</f>
        <v>36510.620836467067</v>
      </c>
      <c r="F58" s="57">
        <f>E58*(1+'Rhaniad y Ddeiliadaeth (Gog)'!E$109)+(E$44*(-(50-$B58)*('Rhaniad y Ddeiliadaeth (Gog)'!E$110/40)))</f>
        <v>37802.93239371977</v>
      </c>
      <c r="G58" s="57">
        <f>F58*(1+'Rhaniad y Ddeiliadaeth (Gog)'!F$109)+(F$44*(-(50-$B58)*('Rhaniad y Ddeiliadaeth (Gog)'!F$110/40)))</f>
        <v>39302.644522427501</v>
      </c>
      <c r="H58" s="58">
        <f>G58*(1+'Rhaniad y Ddeiliadaeth (Gog)'!G$109)+(G$44*(-(50-$B58)*('Rhaniad y Ddeiliadaeth (Gog)'!G$110/40)))</f>
        <v>40899.974141269289</v>
      </c>
      <c r="L58" s="62" t="str">
        <f t="shared" si="0"/>
        <v/>
      </c>
      <c r="M58" s="227"/>
      <c r="N58" s="36">
        <f t="shared" si="3"/>
        <v>1</v>
      </c>
      <c r="T58" s="1">
        <f t="shared" si="1"/>
        <v>64</v>
      </c>
      <c r="U58" s="4" t="str">
        <f t="shared" si="2"/>
        <v/>
      </c>
      <c r="V58" s="4" t="e">
        <f>IF($V$3=$M$3,M58,U58*(1+'Rhaniad y Ddeiliadaeth (Gog)'!C$109)+(U$44*(-(50-$T58)*('Rhaniad y Ddeiliadaeth (Gog)'!C$110/40))))</f>
        <v>#VALUE!</v>
      </c>
      <c r="W58" s="4" t="e">
        <f>V58*(1+'Rhaniad y Ddeiliadaeth (Gog)'!D$109)+(V$44*(-(50-$T58)*('Rhaniad y Ddeiliadaeth (Gog)'!D$110/40)))</f>
        <v>#VALUE!</v>
      </c>
      <c r="X58" s="4" t="e">
        <f>W58*(1+'Rhaniad y Ddeiliadaeth (Gog)'!E$109)+(W$44*(-(50-$T58)*('Rhaniad y Ddeiliadaeth (Gog)'!E$110/40)))</f>
        <v>#VALUE!</v>
      </c>
      <c r="Y58" s="4" t="e">
        <f>X58*(1+'Rhaniad y Ddeiliadaeth (Gog)'!F$109)+(X$44*(-(50-$T58)*('Rhaniad y Ddeiliadaeth (Gog)'!F$110/40)))</f>
        <v>#VALUE!</v>
      </c>
      <c r="Z58" s="4" t="e">
        <f>Y58*(1+'Rhaniad y Ddeiliadaeth (Gog)'!G$109)+(Y$44*(-(50-$T58)*('Rhaniad y Ddeiliadaeth (Gog)'!G$110/40)))</f>
        <v>#VALUE!</v>
      </c>
      <c r="AB58" s="1">
        <v>64</v>
      </c>
      <c r="AC58" s="4">
        <f>IF('Rhaniad y Ddeiliadaeth (Cymru)'!$D$8="Amcangyfrifon LlC",'Incwm (Gogledd)'!D58,'Incwm (Gogledd)'!V58)</f>
        <v>35505.452642510376</v>
      </c>
      <c r="AD58" s="4">
        <f>IF('Rhaniad y Ddeiliadaeth (Cymru)'!$D$8="Amcangyfrifon LlC",'Incwm (Gogledd)'!E58,'Incwm (Gogledd)'!W58)</f>
        <v>36510.620836467067</v>
      </c>
      <c r="AE58" s="4">
        <f>IF('Rhaniad y Ddeiliadaeth (Cymru)'!$D$8="Amcangyfrifon LlC",'Incwm (Gogledd)'!F58,'Incwm (Gogledd)'!X58)</f>
        <v>37802.93239371977</v>
      </c>
      <c r="AF58" s="4">
        <f>IF('Rhaniad y Ddeiliadaeth (Cymru)'!$D$8="Amcangyfrifon LlC",'Incwm (Gogledd)'!G58,'Incwm (Gogledd)'!Y58)</f>
        <v>39302.644522427501</v>
      </c>
      <c r="AG58" s="4">
        <f>IF('Rhaniad y Ddeiliadaeth (Cymru)'!$D$8="Amcangyfrifon LlC",'Incwm (Gogledd)'!H58,'Incwm (Gogledd)'!Z58)</f>
        <v>40899.974141269289</v>
      </c>
    </row>
    <row r="59" spans="2:33" x14ac:dyDescent="0.25">
      <c r="B59" s="20">
        <v>65</v>
      </c>
      <c r="C59" s="56">
        <v>34842</v>
      </c>
      <c r="D59" s="57">
        <f>C59*(1+'Rhaniad y Ddeiliadaeth (Gog)'!C$109)+(C$44*(-(50-$B59)*('Rhaniad y Ddeiliadaeth (Gog)'!C$110/40)))</f>
        <v>36170.111819687561</v>
      </c>
      <c r="E59" s="57">
        <f>D59*(1+'Rhaniad y Ddeiliadaeth (Gog)'!D$109)+(D$44*(-(50-$B59)*('Rhaniad y Ddeiliadaeth (Gog)'!D$110/40)))</f>
        <v>37198.960666147977</v>
      </c>
      <c r="F59" s="57">
        <f>E59*(1+'Rhaniad y Ddeiliadaeth (Gog)'!E$109)+(E$44*(-(50-$B59)*('Rhaniad y Ddeiliadaeth (Gog)'!E$110/40)))</f>
        <v>38520.612788515667</v>
      </c>
      <c r="G59" s="57">
        <f>F59*(1+'Rhaniad y Ddeiliadaeth (Gog)'!F$109)+(F$44*(-(50-$B59)*('Rhaniad y Ddeiliadaeth (Gog)'!F$110/40)))</f>
        <v>40053.92343164311</v>
      </c>
      <c r="H59" s="58">
        <f>G59*(1+'Rhaniad y Ddeiliadaeth (Gog)'!G$109)+(G$44*(-(50-$B59)*('Rhaniad y Ddeiliadaeth (Gog)'!G$110/40)))</f>
        <v>41687.090081338021</v>
      </c>
      <c r="L59" s="62" t="str">
        <f t="shared" si="0"/>
        <v/>
      </c>
      <c r="M59" s="227"/>
      <c r="N59" s="36">
        <f t="shared" si="3"/>
        <v>1</v>
      </c>
      <c r="T59" s="1">
        <f t="shared" si="1"/>
        <v>65</v>
      </c>
      <c r="U59" s="4" t="str">
        <f t="shared" si="2"/>
        <v/>
      </c>
      <c r="V59" s="4" t="e">
        <f>IF($V$3=$M$3,M59,U59*(1+'Rhaniad y Ddeiliadaeth (Gog)'!C$109)+(U$44*(-(50-$T59)*('Rhaniad y Ddeiliadaeth (Gog)'!C$110/40))))</f>
        <v>#VALUE!</v>
      </c>
      <c r="W59" s="4" t="e">
        <f>V59*(1+'Rhaniad y Ddeiliadaeth (Gog)'!D$109)+(V$44*(-(50-$T59)*('Rhaniad y Ddeiliadaeth (Gog)'!D$110/40)))</f>
        <v>#VALUE!</v>
      </c>
      <c r="X59" s="4" t="e">
        <f>W59*(1+'Rhaniad y Ddeiliadaeth (Gog)'!E$109)+(W$44*(-(50-$T59)*('Rhaniad y Ddeiliadaeth (Gog)'!E$110/40)))</f>
        <v>#VALUE!</v>
      </c>
      <c r="Y59" s="4" t="e">
        <f>X59*(1+'Rhaniad y Ddeiliadaeth (Gog)'!F$109)+(X$44*(-(50-$T59)*('Rhaniad y Ddeiliadaeth (Gog)'!F$110/40)))</f>
        <v>#VALUE!</v>
      </c>
      <c r="Z59" s="4" t="e">
        <f>Y59*(1+'Rhaniad y Ddeiliadaeth (Gog)'!G$109)+(Y$44*(-(50-$T59)*('Rhaniad y Ddeiliadaeth (Gog)'!G$110/40)))</f>
        <v>#VALUE!</v>
      </c>
      <c r="AB59" s="1">
        <v>65</v>
      </c>
      <c r="AC59" s="4">
        <f>IF('Rhaniad y Ddeiliadaeth (Cymru)'!$D$8="Amcangyfrifon LlC",'Incwm (Gogledd)'!D59,'Incwm (Gogledd)'!V59)</f>
        <v>36170.111819687561</v>
      </c>
      <c r="AD59" s="4">
        <f>IF('Rhaniad y Ddeiliadaeth (Cymru)'!$D$8="Amcangyfrifon LlC",'Incwm (Gogledd)'!E59,'Incwm (Gogledd)'!W59)</f>
        <v>37198.960666147977</v>
      </c>
      <c r="AE59" s="4">
        <f>IF('Rhaniad y Ddeiliadaeth (Cymru)'!$D$8="Amcangyfrifon LlC",'Incwm (Gogledd)'!F59,'Incwm (Gogledd)'!X59)</f>
        <v>38520.612788515667</v>
      </c>
      <c r="AF59" s="4">
        <f>IF('Rhaniad y Ddeiliadaeth (Cymru)'!$D$8="Amcangyfrifon LlC",'Incwm (Gogledd)'!G59,'Incwm (Gogledd)'!Y59)</f>
        <v>40053.92343164311</v>
      </c>
      <c r="AG59" s="4">
        <f>IF('Rhaniad y Ddeiliadaeth (Cymru)'!$D$8="Amcangyfrifon LlC",'Incwm (Gogledd)'!H59,'Incwm (Gogledd)'!Z59)</f>
        <v>41687.090081338021</v>
      </c>
    </row>
    <row r="60" spans="2:33" x14ac:dyDescent="0.25">
      <c r="B60" s="20">
        <v>66</v>
      </c>
      <c r="C60" s="56">
        <v>35409.379999999997</v>
      </c>
      <c r="D60" s="57">
        <f>C60*(1+'Rhaniad y Ddeiliadaeth (Gog)'!C$109)+(C$44*(-(50-$B60)*('Rhaniad y Ddeiliadaeth (Gog)'!C$110/40)))</f>
        <v>36763.930477711758</v>
      </c>
      <c r="E60" s="57">
        <f>D60*(1+'Rhaniad y Ddeiliadaeth (Gog)'!D$109)+(D$44*(-(50-$B60)*('Rhaniad y Ddeiliadaeth (Gog)'!D$110/40)))</f>
        <v>37814.638582310748</v>
      </c>
      <c r="F60" s="57">
        <f>E60*(1+'Rhaniad y Ddeiliadaeth (Gog)'!E$109)+(E$44*(-(50-$B60)*('Rhaniad y Ddeiliadaeth (Gog)'!E$110/40)))</f>
        <v>39163.247740204999</v>
      </c>
      <c r="G60" s="57">
        <f>F60*(1+'Rhaniad y Ddeiliadaeth (Gog)'!F$109)+(F$44*(-(50-$B60)*('Rhaniad y Ddeiliadaeth (Gog)'!F$110/40)))</f>
        <v>40727.373773513711</v>
      </c>
      <c r="H60" s="58">
        <f>G60*(1+'Rhaniad y Ddeiliadaeth (Gog)'!G$109)+(G$44*(-(50-$B60)*('Rhaniad y Ddeiliadaeth (Gog)'!G$110/40)))</f>
        <v>42393.415125770603</v>
      </c>
      <c r="L60" s="62" t="str">
        <f t="shared" si="0"/>
        <v/>
      </c>
      <c r="M60" s="227"/>
      <c r="N60" s="36">
        <f t="shared" si="3"/>
        <v>1</v>
      </c>
      <c r="T60" s="1">
        <f t="shared" si="1"/>
        <v>66</v>
      </c>
      <c r="U60" s="4" t="str">
        <f t="shared" si="2"/>
        <v/>
      </c>
      <c r="V60" s="4" t="e">
        <f>IF($V$3=$M$3,M60,U60*(1+'Rhaniad y Ddeiliadaeth (Gog)'!C$109)+(U$44*(-(50-$T60)*('Rhaniad y Ddeiliadaeth (Gog)'!C$110/40))))</f>
        <v>#VALUE!</v>
      </c>
      <c r="W60" s="4" t="e">
        <f>V60*(1+'Rhaniad y Ddeiliadaeth (Gog)'!D$109)+(V$44*(-(50-$T60)*('Rhaniad y Ddeiliadaeth (Gog)'!D$110/40)))</f>
        <v>#VALUE!</v>
      </c>
      <c r="X60" s="4" t="e">
        <f>W60*(1+'Rhaniad y Ddeiliadaeth (Gog)'!E$109)+(W$44*(-(50-$T60)*('Rhaniad y Ddeiliadaeth (Gog)'!E$110/40)))</f>
        <v>#VALUE!</v>
      </c>
      <c r="Y60" s="4" t="e">
        <f>X60*(1+'Rhaniad y Ddeiliadaeth (Gog)'!F$109)+(X$44*(-(50-$T60)*('Rhaniad y Ddeiliadaeth (Gog)'!F$110/40)))</f>
        <v>#VALUE!</v>
      </c>
      <c r="Z60" s="4" t="e">
        <f>Y60*(1+'Rhaniad y Ddeiliadaeth (Gog)'!G$109)+(Y$44*(-(50-$T60)*('Rhaniad y Ddeiliadaeth (Gog)'!G$110/40)))</f>
        <v>#VALUE!</v>
      </c>
      <c r="AB60" s="1">
        <v>66</v>
      </c>
      <c r="AC60" s="4">
        <f>IF('Rhaniad y Ddeiliadaeth (Cymru)'!$D$8="Amcangyfrifon LlC",'Incwm (Gogledd)'!D60,'Incwm (Gogledd)'!V60)</f>
        <v>36763.930477711758</v>
      </c>
      <c r="AD60" s="4">
        <f>IF('Rhaniad y Ddeiliadaeth (Cymru)'!$D$8="Amcangyfrifon LlC",'Incwm (Gogledd)'!E60,'Incwm (Gogledd)'!W60)</f>
        <v>37814.638582310748</v>
      </c>
      <c r="AE60" s="4">
        <f>IF('Rhaniad y Ddeiliadaeth (Cymru)'!$D$8="Amcangyfrifon LlC",'Incwm (Gogledd)'!F60,'Incwm (Gogledd)'!X60)</f>
        <v>39163.247740204999</v>
      </c>
      <c r="AF60" s="4">
        <f>IF('Rhaniad y Ddeiliadaeth (Cymru)'!$D$8="Amcangyfrifon LlC",'Incwm (Gogledd)'!G60,'Incwm (Gogledd)'!Y60)</f>
        <v>40727.373773513711</v>
      </c>
      <c r="AG60" s="4">
        <f>IF('Rhaniad y Ddeiliadaeth (Cymru)'!$D$8="Amcangyfrifon LlC",'Incwm (Gogledd)'!H60,'Incwm (Gogledd)'!Z60)</f>
        <v>42393.415125770603</v>
      </c>
    </row>
    <row r="61" spans="2:33" x14ac:dyDescent="0.25">
      <c r="B61" s="20">
        <v>67</v>
      </c>
      <c r="C61" s="56">
        <v>36162.5</v>
      </c>
      <c r="D61" s="57">
        <f>C61*(1+'Rhaniad y Ddeiliadaeth (Gog)'!C$109)+(C$44*(-(50-$B61)*('Rhaniad y Ddeiliadaeth (Gog)'!C$110/40)))</f>
        <v>37550.060127075834</v>
      </c>
      <c r="E61" s="57">
        <f>D61*(1+'Rhaniad y Ddeiliadaeth (Gog)'!D$109)+(D$44*(-(50-$B61)*('Rhaniad y Ddeiliadaeth (Gog)'!D$110/40)))</f>
        <v>38627.572035112782</v>
      </c>
      <c r="F61" s="57">
        <f>E61*(1+'Rhaniad y Ddeiliadaeth (Gog)'!E$109)+(E$44*(-(50-$B61)*('Rhaniad y Ddeiliadaeth (Gog)'!E$110/40)))</f>
        <v>40009.608804180374</v>
      </c>
      <c r="G61" s="57">
        <f>F61*(1+'Rhaniad y Ddeiliadaeth (Gog)'!F$109)+(F$44*(-(50-$B61)*('Rhaniad y Ddeiliadaeth (Gog)'!F$110/40)))</f>
        <v>41612.105584233475</v>
      </c>
      <c r="H61" s="58">
        <f>G61*(1+'Rhaniad y Ddeiliadaeth (Gog)'!G$109)+(G$44*(-(50-$B61)*('Rhaniad y Ddeiliadaeth (Gog)'!G$110/40)))</f>
        <v>43319.063481449288</v>
      </c>
      <c r="L61" s="62" t="str">
        <f t="shared" si="0"/>
        <v/>
      </c>
      <c r="M61" s="227"/>
      <c r="N61" s="36">
        <f t="shared" si="3"/>
        <v>1</v>
      </c>
      <c r="T61" s="1">
        <f t="shared" si="1"/>
        <v>67</v>
      </c>
      <c r="U61" s="4" t="str">
        <f t="shared" si="2"/>
        <v/>
      </c>
      <c r="V61" s="4" t="e">
        <f>IF($V$3=$M$3,M61,U61*(1+'Rhaniad y Ddeiliadaeth (Gog)'!C$109)+(U$44*(-(50-$T61)*('Rhaniad y Ddeiliadaeth (Gog)'!C$110/40))))</f>
        <v>#VALUE!</v>
      </c>
      <c r="W61" s="4" t="e">
        <f>V61*(1+'Rhaniad y Ddeiliadaeth (Gog)'!D$109)+(V$44*(-(50-$T61)*('Rhaniad y Ddeiliadaeth (Gog)'!D$110/40)))</f>
        <v>#VALUE!</v>
      </c>
      <c r="X61" s="4" t="e">
        <f>W61*(1+'Rhaniad y Ddeiliadaeth (Gog)'!E$109)+(W$44*(-(50-$T61)*('Rhaniad y Ddeiliadaeth (Gog)'!E$110/40)))</f>
        <v>#VALUE!</v>
      </c>
      <c r="Y61" s="4" t="e">
        <f>X61*(1+'Rhaniad y Ddeiliadaeth (Gog)'!F$109)+(X$44*(-(50-$T61)*('Rhaniad y Ddeiliadaeth (Gog)'!F$110/40)))</f>
        <v>#VALUE!</v>
      </c>
      <c r="Z61" s="4" t="e">
        <f>Y61*(1+'Rhaniad y Ddeiliadaeth (Gog)'!G$109)+(Y$44*(-(50-$T61)*('Rhaniad y Ddeiliadaeth (Gog)'!G$110/40)))</f>
        <v>#VALUE!</v>
      </c>
      <c r="AB61" s="1">
        <v>67</v>
      </c>
      <c r="AC61" s="4">
        <f>IF('Rhaniad y Ddeiliadaeth (Cymru)'!$D$8="Amcangyfrifon LlC",'Incwm (Gogledd)'!D61,'Incwm (Gogledd)'!V61)</f>
        <v>37550.060127075834</v>
      </c>
      <c r="AD61" s="4">
        <f>IF('Rhaniad y Ddeiliadaeth (Cymru)'!$D$8="Amcangyfrifon LlC",'Incwm (Gogledd)'!E61,'Incwm (Gogledd)'!W61)</f>
        <v>38627.572035112782</v>
      </c>
      <c r="AE61" s="4">
        <f>IF('Rhaniad y Ddeiliadaeth (Cymru)'!$D$8="Amcangyfrifon LlC",'Incwm (Gogledd)'!F61,'Incwm (Gogledd)'!X61)</f>
        <v>40009.608804180374</v>
      </c>
      <c r="AF61" s="4">
        <f>IF('Rhaniad y Ddeiliadaeth (Cymru)'!$D$8="Amcangyfrifon LlC",'Incwm (Gogledd)'!G61,'Incwm (Gogledd)'!Y61)</f>
        <v>41612.105584233475</v>
      </c>
      <c r="AG61" s="4">
        <f>IF('Rhaniad y Ddeiliadaeth (Cymru)'!$D$8="Amcangyfrifon LlC",'Incwm (Gogledd)'!H61,'Incwm (Gogledd)'!Z61)</f>
        <v>43319.063481449288</v>
      </c>
    </row>
    <row r="62" spans="2:33" x14ac:dyDescent="0.25">
      <c r="B62" s="20">
        <v>68</v>
      </c>
      <c r="C62" s="56">
        <v>36949</v>
      </c>
      <c r="D62" s="57">
        <f>C62*(1+'Rhaniad y Ddeiliadaeth (Gog)'!C$109)+(C$44*(-(50-$B62)*('Rhaniad y Ddeiliadaeth (Gog)'!C$110/40)))</f>
        <v>38370.750672805392</v>
      </c>
      <c r="E62" s="57">
        <f>D62*(1+'Rhaniad y Ddeiliadaeth (Gog)'!D$109)+(D$44*(-(50-$B62)*('Rhaniad y Ddeiliadaeth (Gog)'!D$110/40)))</f>
        <v>39475.95498620822</v>
      </c>
      <c r="F62" s="57">
        <f>E62*(1+'Rhaniad y Ddeiliadaeth (Gog)'!E$109)+(E$44*(-(50-$B62)*('Rhaniad y Ddeiliadaeth (Gog)'!E$110/40)))</f>
        <v>40892.582216751143</v>
      </c>
      <c r="G62" s="57">
        <f>F62*(1+'Rhaniad y Ddeiliadaeth (Gog)'!F$109)+(F$44*(-(50-$B62)*('Rhaniad y Ddeiliadaeth (Gog)'!F$110/40)))</f>
        <v>42534.807543710565</v>
      </c>
      <c r="H62" s="58">
        <f>G62*(1+'Rhaniad y Ddeiliadaeth (Gog)'!G$109)+(G$44*(-(50-$B62)*('Rhaniad y Ddeiliadaeth (Gog)'!G$110/40)))</f>
        <v>44284.127214157124</v>
      </c>
      <c r="L62" s="62" t="str">
        <f t="shared" si="0"/>
        <v/>
      </c>
      <c r="M62" s="227"/>
      <c r="N62" s="36">
        <f t="shared" si="3"/>
        <v>1</v>
      </c>
      <c r="T62" s="1">
        <f t="shared" si="1"/>
        <v>68</v>
      </c>
      <c r="U62" s="4" t="str">
        <f t="shared" si="2"/>
        <v/>
      </c>
      <c r="V62" s="4" t="e">
        <f>IF($V$3=$M$3,M62,U62*(1+'Rhaniad y Ddeiliadaeth (Gog)'!C$109)+(U$44*(-(50-$T62)*('Rhaniad y Ddeiliadaeth (Gog)'!C$110/40))))</f>
        <v>#VALUE!</v>
      </c>
      <c r="W62" s="4" t="e">
        <f>V62*(1+'Rhaniad y Ddeiliadaeth (Gog)'!D$109)+(V$44*(-(50-$T62)*('Rhaniad y Ddeiliadaeth (Gog)'!D$110/40)))</f>
        <v>#VALUE!</v>
      </c>
      <c r="X62" s="4" t="e">
        <f>W62*(1+'Rhaniad y Ddeiliadaeth (Gog)'!E$109)+(W$44*(-(50-$T62)*('Rhaniad y Ddeiliadaeth (Gog)'!E$110/40)))</f>
        <v>#VALUE!</v>
      </c>
      <c r="Y62" s="4" t="e">
        <f>X62*(1+'Rhaniad y Ddeiliadaeth (Gog)'!F$109)+(X$44*(-(50-$T62)*('Rhaniad y Ddeiliadaeth (Gog)'!F$110/40)))</f>
        <v>#VALUE!</v>
      </c>
      <c r="Z62" s="4" t="e">
        <f>Y62*(1+'Rhaniad y Ddeiliadaeth (Gog)'!G$109)+(Y$44*(-(50-$T62)*('Rhaniad y Ddeiliadaeth (Gog)'!G$110/40)))</f>
        <v>#VALUE!</v>
      </c>
      <c r="AB62" s="1">
        <v>68</v>
      </c>
      <c r="AC62" s="4">
        <f>IF('Rhaniad y Ddeiliadaeth (Cymru)'!$D$8="Amcangyfrifon LlC",'Incwm (Gogledd)'!D62,'Incwm (Gogledd)'!V62)</f>
        <v>38370.750672805392</v>
      </c>
      <c r="AD62" s="4">
        <f>IF('Rhaniad y Ddeiliadaeth (Cymru)'!$D$8="Amcangyfrifon LlC",'Incwm (Gogledd)'!E62,'Incwm (Gogledd)'!W62)</f>
        <v>39475.95498620822</v>
      </c>
      <c r="AE62" s="4">
        <f>IF('Rhaniad y Ddeiliadaeth (Cymru)'!$D$8="Amcangyfrifon LlC",'Incwm (Gogledd)'!F62,'Incwm (Gogledd)'!X62)</f>
        <v>40892.582216751143</v>
      </c>
      <c r="AF62" s="4">
        <f>IF('Rhaniad y Ddeiliadaeth (Cymru)'!$D$8="Amcangyfrifon LlC",'Incwm (Gogledd)'!G62,'Incwm (Gogledd)'!Y62)</f>
        <v>42534.807543710565</v>
      </c>
      <c r="AG62" s="4">
        <f>IF('Rhaniad y Ddeiliadaeth (Cymru)'!$D$8="Amcangyfrifon LlC",'Incwm (Gogledd)'!H62,'Incwm (Gogledd)'!Z62)</f>
        <v>44284.127214157124</v>
      </c>
    </row>
    <row r="63" spans="2:33" x14ac:dyDescent="0.25">
      <c r="B63" s="20">
        <v>69</v>
      </c>
      <c r="C63" s="56">
        <v>37805.839999999997</v>
      </c>
      <c r="D63" s="57">
        <f>C63*(1+'Rhaniad y Ddeiliadaeth (Gog)'!C$109)+(C$44*(-(50-$B63)*('Rhaniad y Ddeiliadaeth (Gog)'!C$110/40)))</f>
        <v>39264.269662224222</v>
      </c>
      <c r="E63" s="57">
        <f>D63*(1+'Rhaniad y Ddeiliadaeth (Gog)'!D$109)+(D$44*(-(50-$B63)*('Rhaniad y Ddeiliadaeth (Gog)'!D$110/40)))</f>
        <v>40399.038887272458</v>
      </c>
      <c r="F63" s="57">
        <f>E63*(1+'Rhaniad y Ddeiliadaeth (Gog)'!E$109)+(E$44*(-(50-$B63)*('Rhaniad y Ddeiliadaeth (Gog)'!E$110/40)))</f>
        <v>41852.706995415356</v>
      </c>
      <c r="G63" s="57">
        <f>F63*(1+'Rhaniad y Ddeiliadaeth (Gog)'!F$109)+(F$44*(-(50-$B63)*('Rhaniad y Ddeiliadaeth (Gog)'!F$110/40)))</f>
        <v>43537.522093468935</v>
      </c>
      <c r="H63" s="58">
        <f>G63*(1+'Rhaniad y Ddeiliadaeth (Gog)'!G$109)+(G$44*(-(50-$B63)*('Rhaniad y Ddeiliadaeth (Gog)'!G$110/40)))</f>
        <v>45332.248994205569</v>
      </c>
      <c r="L63" s="62" t="str">
        <f t="shared" si="0"/>
        <v/>
      </c>
      <c r="M63" s="227"/>
      <c r="N63" s="36">
        <f t="shared" si="3"/>
        <v>1</v>
      </c>
      <c r="T63" s="1">
        <f t="shared" si="1"/>
        <v>69</v>
      </c>
      <c r="U63" s="4" t="str">
        <f t="shared" si="2"/>
        <v/>
      </c>
      <c r="V63" s="4" t="e">
        <f>IF($V$3=$M$3,M63,U63*(1+'Rhaniad y Ddeiliadaeth (Gog)'!C$109)+(U$44*(-(50-$T63)*('Rhaniad y Ddeiliadaeth (Gog)'!C$110/40))))</f>
        <v>#VALUE!</v>
      </c>
      <c r="W63" s="4" t="e">
        <f>V63*(1+'Rhaniad y Ddeiliadaeth (Gog)'!D$109)+(V$44*(-(50-$T63)*('Rhaniad y Ddeiliadaeth (Gog)'!D$110/40)))</f>
        <v>#VALUE!</v>
      </c>
      <c r="X63" s="4" t="e">
        <f>W63*(1+'Rhaniad y Ddeiliadaeth (Gog)'!E$109)+(W$44*(-(50-$T63)*('Rhaniad y Ddeiliadaeth (Gog)'!E$110/40)))</f>
        <v>#VALUE!</v>
      </c>
      <c r="Y63" s="4" t="e">
        <f>X63*(1+'Rhaniad y Ddeiliadaeth (Gog)'!F$109)+(X$44*(-(50-$T63)*('Rhaniad y Ddeiliadaeth (Gog)'!F$110/40)))</f>
        <v>#VALUE!</v>
      </c>
      <c r="Z63" s="4" t="e">
        <f>Y63*(1+'Rhaniad y Ddeiliadaeth (Gog)'!G$109)+(Y$44*(-(50-$T63)*('Rhaniad y Ddeiliadaeth (Gog)'!G$110/40)))</f>
        <v>#VALUE!</v>
      </c>
      <c r="AB63" s="1">
        <v>69</v>
      </c>
      <c r="AC63" s="4">
        <f>IF('Rhaniad y Ddeiliadaeth (Cymru)'!$D$8="Amcangyfrifon LlC",'Incwm (Gogledd)'!D63,'Incwm (Gogledd)'!V63)</f>
        <v>39264.269662224222</v>
      </c>
      <c r="AD63" s="4">
        <f>IF('Rhaniad y Ddeiliadaeth (Cymru)'!$D$8="Amcangyfrifon LlC",'Incwm (Gogledd)'!E63,'Incwm (Gogledd)'!W63)</f>
        <v>40399.038887272458</v>
      </c>
      <c r="AE63" s="4">
        <f>IF('Rhaniad y Ddeiliadaeth (Cymru)'!$D$8="Amcangyfrifon LlC",'Incwm (Gogledd)'!F63,'Incwm (Gogledd)'!X63)</f>
        <v>41852.706995415356</v>
      </c>
      <c r="AF63" s="4">
        <f>IF('Rhaniad y Ddeiliadaeth (Cymru)'!$D$8="Amcangyfrifon LlC",'Incwm (Gogledd)'!G63,'Incwm (Gogledd)'!Y63)</f>
        <v>43537.522093468935</v>
      </c>
      <c r="AG63" s="4">
        <f>IF('Rhaniad y Ddeiliadaeth (Cymru)'!$D$8="Amcangyfrifon LlC",'Incwm (Gogledd)'!H63,'Incwm (Gogledd)'!Z63)</f>
        <v>45332.248994205569</v>
      </c>
    </row>
    <row r="64" spans="2:33" x14ac:dyDescent="0.25">
      <c r="B64" s="20">
        <v>70</v>
      </c>
      <c r="C64" s="56">
        <v>38547</v>
      </c>
      <c r="D64" s="57">
        <f>C64*(1+'Rhaniad y Ddeiliadaeth (Gog)'!C$109)+(C$44*(-(50-$B64)*('Rhaniad y Ddeiliadaeth (Gog)'!C$110/40)))</f>
        <v>40038.01619833093</v>
      </c>
      <c r="E64" s="57">
        <f>D64*(1+'Rhaniad y Ddeiliadaeth (Gog)'!D$109)+(D$44*(-(50-$B64)*('Rhaniad y Ddeiliadaeth (Gog)'!D$110/40)))</f>
        <v>41199.270842183876</v>
      </c>
      <c r="F64" s="57">
        <f>E64*(1+'Rhaniad y Ddeiliadaeth (Gog)'!E$109)+(E$44*(-(50-$B64)*('Rhaniad y Ddeiliadaeth (Gog)'!E$110/40)))</f>
        <v>42685.9499141181</v>
      </c>
      <c r="G64" s="57">
        <f>F64*(1+'Rhaniad y Ddeiliadaeth (Gog)'!F$109)+(F$44*(-(50-$B64)*('Rhaniad y Ddeiliadaeth (Gog)'!F$110/40)))</f>
        <v>44408.649261314611</v>
      </c>
      <c r="H64" s="58">
        <f>G64*(1+'Rhaniad y Ddeiliadaeth (Gog)'!G$109)+(G$44*(-(50-$B64)*('Rhaniad y Ddeiliadaeth (Gog)'!G$110/40)))</f>
        <v>46243.774884058359</v>
      </c>
      <c r="L64" s="62" t="str">
        <f t="shared" si="0"/>
        <v/>
      </c>
      <c r="M64" s="227"/>
      <c r="N64" s="36">
        <f t="shared" si="3"/>
        <v>1</v>
      </c>
      <c r="T64" s="1">
        <f t="shared" si="1"/>
        <v>70</v>
      </c>
      <c r="U64" s="4" t="str">
        <f t="shared" si="2"/>
        <v/>
      </c>
      <c r="V64" s="4" t="e">
        <f>IF($V$3=$M$3,M64,U64*(1+'Rhaniad y Ddeiliadaeth (Gog)'!C$109)+(U$44*(-(50-$T64)*('Rhaniad y Ddeiliadaeth (Gog)'!C$110/40))))</f>
        <v>#VALUE!</v>
      </c>
      <c r="W64" s="4" t="e">
        <f>V64*(1+'Rhaniad y Ddeiliadaeth (Gog)'!D$109)+(V$44*(-(50-$T64)*('Rhaniad y Ddeiliadaeth (Gog)'!D$110/40)))</f>
        <v>#VALUE!</v>
      </c>
      <c r="X64" s="4" t="e">
        <f>W64*(1+'Rhaniad y Ddeiliadaeth (Gog)'!E$109)+(W$44*(-(50-$T64)*('Rhaniad y Ddeiliadaeth (Gog)'!E$110/40)))</f>
        <v>#VALUE!</v>
      </c>
      <c r="Y64" s="4" t="e">
        <f>X64*(1+'Rhaniad y Ddeiliadaeth (Gog)'!F$109)+(X$44*(-(50-$T64)*('Rhaniad y Ddeiliadaeth (Gog)'!F$110/40)))</f>
        <v>#VALUE!</v>
      </c>
      <c r="Z64" s="4" t="e">
        <f>Y64*(1+'Rhaniad y Ddeiliadaeth (Gog)'!G$109)+(Y$44*(-(50-$T64)*('Rhaniad y Ddeiliadaeth (Gog)'!G$110/40)))</f>
        <v>#VALUE!</v>
      </c>
      <c r="AB64" s="1">
        <v>70</v>
      </c>
      <c r="AC64" s="4">
        <f>IF('Rhaniad y Ddeiliadaeth (Cymru)'!$D$8="Amcangyfrifon LlC",'Incwm (Gogledd)'!D64,'Incwm (Gogledd)'!V64)</f>
        <v>40038.01619833093</v>
      </c>
      <c r="AD64" s="4">
        <f>IF('Rhaniad y Ddeiliadaeth (Cymru)'!$D$8="Amcangyfrifon LlC",'Incwm (Gogledd)'!E64,'Incwm (Gogledd)'!W64)</f>
        <v>41199.270842183876</v>
      </c>
      <c r="AE64" s="4">
        <f>IF('Rhaniad y Ddeiliadaeth (Cymru)'!$D$8="Amcangyfrifon LlC",'Incwm (Gogledd)'!F64,'Incwm (Gogledd)'!X64)</f>
        <v>42685.9499141181</v>
      </c>
      <c r="AF64" s="4">
        <f>IF('Rhaniad y Ddeiliadaeth (Cymru)'!$D$8="Amcangyfrifon LlC",'Incwm (Gogledd)'!G64,'Incwm (Gogledd)'!Y64)</f>
        <v>44408.649261314611</v>
      </c>
      <c r="AG64" s="4">
        <f>IF('Rhaniad y Ddeiliadaeth (Cymru)'!$D$8="Amcangyfrifon LlC",'Incwm (Gogledd)'!H64,'Incwm (Gogledd)'!Z64)</f>
        <v>46243.774884058359</v>
      </c>
    </row>
    <row r="65" spans="2:33" x14ac:dyDescent="0.25">
      <c r="B65" s="20">
        <v>71</v>
      </c>
      <c r="C65" s="56">
        <v>39568.85</v>
      </c>
      <c r="D65" s="57">
        <f>C65*(1+'Rhaniad y Ddeiliadaeth (Gog)'!C$109)+(C$44*(-(50-$B65)*('Rhaniad y Ddeiliadaeth (Gog)'!C$110/40)))</f>
        <v>41102.382806361762</v>
      </c>
      <c r="E65" s="57">
        <f>D65*(1+'Rhaniad y Ddeiliadaeth (Gog)'!D$109)+(D$44*(-(50-$B65)*('Rhaniad y Ddeiliadaeth (Gog)'!D$110/40)))</f>
        <v>42297.595058209052</v>
      </c>
      <c r="F65" s="57">
        <f>E65*(1+'Rhaniad y Ddeiliadaeth (Gog)'!E$109)+(E$44*(-(50-$B65)*('Rhaniad y Ddeiliadaeth (Gog)'!E$110/40)))</f>
        <v>43827.063417819045</v>
      </c>
      <c r="G65" s="57">
        <f>F65*(1+'Rhaniad y Ddeiliadaeth (Gog)'!F$109)+(F$44*(-(50-$B65)*('Rhaniad y Ddeiliadaeth (Gog)'!F$110/40)))</f>
        <v>45599.064657281677</v>
      </c>
      <c r="H65" s="58">
        <f>G65*(1+'Rhaniad y Ddeiliadaeth (Gog)'!G$109)+(G$44*(-(50-$B65)*('Rhaniad y Ddeiliadaeth (Gog)'!G$110/40)))</f>
        <v>47486.741821793476</v>
      </c>
      <c r="L65" s="62" t="str">
        <f t="shared" si="0"/>
        <v/>
      </c>
      <c r="M65" s="227"/>
      <c r="N65" s="36">
        <f t="shared" si="3"/>
        <v>1</v>
      </c>
      <c r="T65" s="1">
        <f t="shared" si="1"/>
        <v>71</v>
      </c>
      <c r="U65" s="4" t="str">
        <f t="shared" si="2"/>
        <v/>
      </c>
      <c r="V65" s="4" t="e">
        <f>IF($V$3=$M$3,M65,U65*(1+'Rhaniad y Ddeiliadaeth (Gog)'!C$109)+(U$44*(-(50-$T65)*('Rhaniad y Ddeiliadaeth (Gog)'!C$110/40))))</f>
        <v>#VALUE!</v>
      </c>
      <c r="W65" s="4" t="e">
        <f>V65*(1+'Rhaniad y Ddeiliadaeth (Gog)'!D$109)+(V$44*(-(50-$T65)*('Rhaniad y Ddeiliadaeth (Gog)'!D$110/40)))</f>
        <v>#VALUE!</v>
      </c>
      <c r="X65" s="4" t="e">
        <f>W65*(1+'Rhaniad y Ddeiliadaeth (Gog)'!E$109)+(W$44*(-(50-$T65)*('Rhaniad y Ddeiliadaeth (Gog)'!E$110/40)))</f>
        <v>#VALUE!</v>
      </c>
      <c r="Y65" s="4" t="e">
        <f>X65*(1+'Rhaniad y Ddeiliadaeth (Gog)'!F$109)+(X$44*(-(50-$T65)*('Rhaniad y Ddeiliadaeth (Gog)'!F$110/40)))</f>
        <v>#VALUE!</v>
      </c>
      <c r="Z65" s="4" t="e">
        <f>Y65*(1+'Rhaniad y Ddeiliadaeth (Gog)'!G$109)+(Y$44*(-(50-$T65)*('Rhaniad y Ddeiliadaeth (Gog)'!G$110/40)))</f>
        <v>#VALUE!</v>
      </c>
      <c r="AB65" s="1">
        <v>71</v>
      </c>
      <c r="AC65" s="4">
        <f>IF('Rhaniad y Ddeiliadaeth (Cymru)'!$D$8="Amcangyfrifon LlC",'Incwm (Gogledd)'!D65,'Incwm (Gogledd)'!V65)</f>
        <v>41102.382806361762</v>
      </c>
      <c r="AD65" s="4">
        <f>IF('Rhaniad y Ddeiliadaeth (Cymru)'!$D$8="Amcangyfrifon LlC",'Incwm (Gogledd)'!E65,'Incwm (Gogledd)'!W65)</f>
        <v>42297.595058209052</v>
      </c>
      <c r="AE65" s="4">
        <f>IF('Rhaniad y Ddeiliadaeth (Cymru)'!$D$8="Amcangyfrifon LlC",'Incwm (Gogledd)'!F65,'Incwm (Gogledd)'!X65)</f>
        <v>43827.063417819045</v>
      </c>
      <c r="AF65" s="4">
        <f>IF('Rhaniad y Ddeiliadaeth (Cymru)'!$D$8="Amcangyfrifon LlC",'Incwm (Gogledd)'!G65,'Incwm (Gogledd)'!Y65)</f>
        <v>45599.064657281677</v>
      </c>
      <c r="AG65" s="4">
        <f>IF('Rhaniad y Ddeiliadaeth (Cymru)'!$D$8="Amcangyfrifon LlC",'Incwm (Gogledd)'!H65,'Incwm (Gogledd)'!Z65)</f>
        <v>47486.741821793476</v>
      </c>
    </row>
    <row r="66" spans="2:33" x14ac:dyDescent="0.25">
      <c r="B66" s="20">
        <v>72</v>
      </c>
      <c r="C66" s="56">
        <v>40110</v>
      </c>
      <c r="D66" s="57">
        <f>C66*(1+'Rhaniad y Ddeiliadaeth (Gog)'!C$109)+(C$44*(-(50-$B66)*('Rhaniad y Ddeiliadaeth (Gog)'!C$110/40)))</f>
        <v>41669.043516163481</v>
      </c>
      <c r="E66" s="57">
        <f>D66*(1+'Rhaniad y Ddeiliadaeth (Gog)'!D$109)+(D$44*(-(50-$B66)*('Rhaniad y Ddeiliadaeth (Gog)'!D$110/40)))</f>
        <v>42885.416762860856</v>
      </c>
      <c r="F66" s="57">
        <f>E66*(1+'Rhaniad y Ddeiliadaeth (Gog)'!E$109)+(E$44*(-(50-$B66)*('Rhaniad y Ddeiliadaeth (Gog)'!E$110/40)))</f>
        <v>44440.92839036946</v>
      </c>
      <c r="G66" s="57">
        <f>F66*(1+'Rhaniad y Ddeiliadaeth (Gog)'!F$109)+(F$44*(-(50-$B66)*('Rhaniad y Ddeiliadaeth (Gog)'!F$110/40)))</f>
        <v>46242.678060808823</v>
      </c>
      <c r="H66" s="58">
        <f>G66*(1+'Rhaniad y Ddeiliadaeth (Gog)'!G$109)+(G$44*(-(50-$B66)*('Rhaniad y Ddeiliadaeth (Gog)'!G$110/40)))</f>
        <v>48162.094267679786</v>
      </c>
      <c r="L66" s="62" t="str">
        <f t="shared" si="0"/>
        <v/>
      </c>
      <c r="M66" s="227"/>
      <c r="N66" s="36">
        <f t="shared" si="3"/>
        <v>1</v>
      </c>
      <c r="T66" s="1">
        <f t="shared" si="1"/>
        <v>72</v>
      </c>
      <c r="U66" s="4" t="str">
        <f t="shared" si="2"/>
        <v/>
      </c>
      <c r="V66" s="4" t="e">
        <f>IF($V$3=$M$3,M66,U66*(1+'Rhaniad y Ddeiliadaeth (Gog)'!C$109)+(U$44*(-(50-$T66)*('Rhaniad y Ddeiliadaeth (Gog)'!C$110/40))))</f>
        <v>#VALUE!</v>
      </c>
      <c r="W66" s="4" t="e">
        <f>V66*(1+'Rhaniad y Ddeiliadaeth (Gog)'!D$109)+(V$44*(-(50-$T66)*('Rhaniad y Ddeiliadaeth (Gog)'!D$110/40)))</f>
        <v>#VALUE!</v>
      </c>
      <c r="X66" s="4" t="e">
        <f>W66*(1+'Rhaniad y Ddeiliadaeth (Gog)'!E$109)+(W$44*(-(50-$T66)*('Rhaniad y Ddeiliadaeth (Gog)'!E$110/40)))</f>
        <v>#VALUE!</v>
      </c>
      <c r="Y66" s="4" t="e">
        <f>X66*(1+'Rhaniad y Ddeiliadaeth (Gog)'!F$109)+(X$44*(-(50-$T66)*('Rhaniad y Ddeiliadaeth (Gog)'!F$110/40)))</f>
        <v>#VALUE!</v>
      </c>
      <c r="Z66" s="4" t="e">
        <f>Y66*(1+'Rhaniad y Ddeiliadaeth (Gog)'!G$109)+(Y$44*(-(50-$T66)*('Rhaniad y Ddeiliadaeth (Gog)'!G$110/40)))</f>
        <v>#VALUE!</v>
      </c>
      <c r="AB66" s="1">
        <v>72</v>
      </c>
      <c r="AC66" s="4">
        <f>IF('Rhaniad y Ddeiliadaeth (Cymru)'!$D$8="Amcangyfrifon LlC",'Incwm (Gogledd)'!D66,'Incwm (Gogledd)'!V66)</f>
        <v>41669.043516163481</v>
      </c>
      <c r="AD66" s="4">
        <f>IF('Rhaniad y Ddeiliadaeth (Cymru)'!$D$8="Amcangyfrifon LlC",'Incwm (Gogledd)'!E66,'Incwm (Gogledd)'!W66)</f>
        <v>42885.416762860856</v>
      </c>
      <c r="AE66" s="4">
        <f>IF('Rhaniad y Ddeiliadaeth (Cymru)'!$D$8="Amcangyfrifon LlC",'Incwm (Gogledd)'!F66,'Incwm (Gogledd)'!X66)</f>
        <v>44440.92839036946</v>
      </c>
      <c r="AF66" s="4">
        <f>IF('Rhaniad y Ddeiliadaeth (Cymru)'!$D$8="Amcangyfrifon LlC",'Incwm (Gogledd)'!G66,'Incwm (Gogledd)'!Y66)</f>
        <v>46242.678060808823</v>
      </c>
      <c r="AG66" s="4">
        <f>IF('Rhaniad y Ddeiliadaeth (Cymru)'!$D$8="Amcangyfrifon LlC",'Incwm (Gogledd)'!H66,'Incwm (Gogledd)'!Z66)</f>
        <v>48162.094267679786</v>
      </c>
    </row>
    <row r="67" spans="2:33" x14ac:dyDescent="0.25">
      <c r="B67" s="20">
        <v>73</v>
      </c>
      <c r="C67" s="56">
        <v>40984</v>
      </c>
      <c r="D67" s="57">
        <f>C67*(1+'Rhaniad y Ddeiliadaeth (Gog)'!C$109)+(C$44*(-(50-$B67)*('Rhaniad y Ddeiliadaeth (Gog)'!C$110/40)))</f>
        <v>42580.329581125508</v>
      </c>
      <c r="E67" s="57">
        <f>D67*(1+'Rhaniad y Ddeiliadaeth (Gog)'!D$109)+(D$44*(-(50-$B67)*('Rhaniad y Ddeiliadaeth (Gog)'!D$110/40)))</f>
        <v>43826.724552202963</v>
      </c>
      <c r="F67" s="57">
        <f>E67*(1+'Rhaniad y Ddeiliadaeth (Gog)'!E$109)+(E$44*(-(50-$B67)*('Rhaniad y Ddeiliadaeth (Gog)'!E$110/40)))</f>
        <v>45419.874855729227</v>
      </c>
      <c r="G67" s="57">
        <f>F67*(1+'Rhaniad y Ddeiliadaeth (Gog)'!F$109)+(F$44*(-(50-$B67)*('Rhaniad y Ddeiliadaeth (Gog)'!F$110/40)))</f>
        <v>47264.912315560505</v>
      </c>
      <c r="H67" s="58">
        <f>G67*(1+'Rhaniad y Ddeiliadaeth (Gog)'!G$109)+(G$44*(-(50-$B67)*('Rhaniad y Ddeiliadaeth (Gog)'!G$110/40)))</f>
        <v>49230.478716087164</v>
      </c>
      <c r="L67" s="62" t="str">
        <f t="shared" si="0"/>
        <v/>
      </c>
      <c r="M67" s="227"/>
      <c r="N67" s="36">
        <f t="shared" si="3"/>
        <v>1</v>
      </c>
      <c r="T67" s="1">
        <f t="shared" si="1"/>
        <v>73</v>
      </c>
      <c r="U67" s="4" t="str">
        <f t="shared" si="2"/>
        <v/>
      </c>
      <c r="V67" s="4" t="e">
        <f>IF($V$3=$M$3,M67,U67*(1+'Rhaniad y Ddeiliadaeth (Gog)'!C$109)+(U$44*(-(50-$T67)*('Rhaniad y Ddeiliadaeth (Gog)'!C$110/40))))</f>
        <v>#VALUE!</v>
      </c>
      <c r="W67" s="4" t="e">
        <f>V67*(1+'Rhaniad y Ddeiliadaeth (Gog)'!D$109)+(V$44*(-(50-$T67)*('Rhaniad y Ddeiliadaeth (Gog)'!D$110/40)))</f>
        <v>#VALUE!</v>
      </c>
      <c r="X67" s="4" t="e">
        <f>W67*(1+'Rhaniad y Ddeiliadaeth (Gog)'!E$109)+(W$44*(-(50-$T67)*('Rhaniad y Ddeiliadaeth (Gog)'!E$110/40)))</f>
        <v>#VALUE!</v>
      </c>
      <c r="Y67" s="4" t="e">
        <f>X67*(1+'Rhaniad y Ddeiliadaeth (Gog)'!F$109)+(X$44*(-(50-$T67)*('Rhaniad y Ddeiliadaeth (Gog)'!F$110/40)))</f>
        <v>#VALUE!</v>
      </c>
      <c r="Z67" s="4" t="e">
        <f>Y67*(1+'Rhaniad y Ddeiliadaeth (Gog)'!G$109)+(Y$44*(-(50-$T67)*('Rhaniad y Ddeiliadaeth (Gog)'!G$110/40)))</f>
        <v>#VALUE!</v>
      </c>
      <c r="AB67" s="1">
        <v>73</v>
      </c>
      <c r="AC67" s="4">
        <f>IF('Rhaniad y Ddeiliadaeth (Cymru)'!$D$8="Amcangyfrifon LlC",'Incwm (Gogledd)'!D67,'Incwm (Gogledd)'!V67)</f>
        <v>42580.329581125508</v>
      </c>
      <c r="AD67" s="4">
        <f>IF('Rhaniad y Ddeiliadaeth (Cymru)'!$D$8="Amcangyfrifon LlC",'Incwm (Gogledd)'!E67,'Incwm (Gogledd)'!W67)</f>
        <v>43826.724552202963</v>
      </c>
      <c r="AE67" s="4">
        <f>IF('Rhaniad y Ddeiliadaeth (Cymru)'!$D$8="Amcangyfrifon LlC",'Incwm (Gogledd)'!F67,'Incwm (Gogledd)'!X67)</f>
        <v>45419.874855729227</v>
      </c>
      <c r="AF67" s="4">
        <f>IF('Rhaniad y Ddeiliadaeth (Cymru)'!$D$8="Amcangyfrifon LlC",'Incwm (Gogledd)'!G67,'Incwm (Gogledd)'!Y67)</f>
        <v>47264.912315560505</v>
      </c>
      <c r="AG67" s="4">
        <f>IF('Rhaniad y Ddeiliadaeth (Cymru)'!$D$8="Amcangyfrifon LlC",'Incwm (Gogledd)'!H67,'Incwm (Gogledd)'!Z67)</f>
        <v>49230.478716087164</v>
      </c>
    </row>
    <row r="68" spans="2:33" x14ac:dyDescent="0.25">
      <c r="B68" s="20">
        <v>74</v>
      </c>
      <c r="C68" s="56">
        <v>42025</v>
      </c>
      <c r="D68" s="57">
        <f>C68*(1+'Rhaniad y Ddeiliadaeth (Gog)'!C$109)+(C$44*(-(50-$B68)*('Rhaniad y Ddeiliadaeth (Gog)'!C$110/40)))</f>
        <v>43664.523665651213</v>
      </c>
      <c r="E68" s="57">
        <f>D68*(1+'Rhaniad y Ddeiliadaeth (Gog)'!D$109)+(D$44*(-(50-$B68)*('Rhaniad y Ddeiliadaeth (Gog)'!D$110/40)))</f>
        <v>44945.386032827257</v>
      </c>
      <c r="F68" s="57">
        <f>E68*(1+'Rhaniad y Ddeiliadaeth (Gog)'!E$109)+(E$44*(-(50-$B68)*('Rhaniad y Ddeiliadaeth (Gog)'!E$110/40)))</f>
        <v>46581.992747554832</v>
      </c>
      <c r="G68" s="57">
        <f>F68*(1+'Rhaniad y Ddeiliadaeth (Gog)'!F$109)+(F$44*(-(50-$B68)*('Rhaniad y Ddeiliadaeth (Gog)'!F$110/40)))</f>
        <v>48477.111065293364</v>
      </c>
      <c r="H68" s="58">
        <f>G68*(1+'Rhaniad y Ddeiliadaeth (Gog)'!G$109)+(G$44*(-(50-$B68)*('Rhaniad y Ddeiliadaeth (Gog)'!G$110/40)))</f>
        <v>50496.05813045823</v>
      </c>
      <c r="L68" s="62" t="str">
        <f t="shared" ref="L68:L84" si="4">IF(ISBLANK($K$4),"",B68)</f>
        <v/>
      </c>
      <c r="M68" s="227"/>
      <c r="N68" s="36">
        <f t="shared" si="3"/>
        <v>1</v>
      </c>
      <c r="T68" s="1">
        <f t="shared" ref="T68:T84" si="5">B68</f>
        <v>74</v>
      </c>
      <c r="U68" s="4" t="str">
        <f t="shared" ref="U68:U84" si="6">IF($M$3=$U$3,M68,"")</f>
        <v/>
      </c>
      <c r="V68" s="4" t="e">
        <f>IF($V$3=$M$3,M68,U68*(1+'Rhaniad y Ddeiliadaeth (Gog)'!C$109)+(U$44*(-(50-$T68)*('Rhaniad y Ddeiliadaeth (Gog)'!C$110/40))))</f>
        <v>#VALUE!</v>
      </c>
      <c r="W68" s="4" t="e">
        <f>V68*(1+'Rhaniad y Ddeiliadaeth (Gog)'!D$109)+(V$44*(-(50-$T68)*('Rhaniad y Ddeiliadaeth (Gog)'!D$110/40)))</f>
        <v>#VALUE!</v>
      </c>
      <c r="X68" s="4" t="e">
        <f>W68*(1+'Rhaniad y Ddeiliadaeth (Gog)'!E$109)+(W$44*(-(50-$T68)*('Rhaniad y Ddeiliadaeth (Gog)'!E$110/40)))</f>
        <v>#VALUE!</v>
      </c>
      <c r="Y68" s="4" t="e">
        <f>X68*(1+'Rhaniad y Ddeiliadaeth (Gog)'!F$109)+(X$44*(-(50-$T68)*('Rhaniad y Ddeiliadaeth (Gog)'!F$110/40)))</f>
        <v>#VALUE!</v>
      </c>
      <c r="Z68" s="4" t="e">
        <f>Y68*(1+'Rhaniad y Ddeiliadaeth (Gog)'!G$109)+(Y$44*(-(50-$T68)*('Rhaniad y Ddeiliadaeth (Gog)'!G$110/40)))</f>
        <v>#VALUE!</v>
      </c>
      <c r="AB68" s="1">
        <v>74</v>
      </c>
      <c r="AC68" s="4">
        <f>IF('Rhaniad y Ddeiliadaeth (Cymru)'!$D$8="Amcangyfrifon LlC",'Incwm (Gogledd)'!D68,'Incwm (Gogledd)'!V68)</f>
        <v>43664.523665651213</v>
      </c>
      <c r="AD68" s="4">
        <f>IF('Rhaniad y Ddeiliadaeth (Cymru)'!$D$8="Amcangyfrifon LlC",'Incwm (Gogledd)'!E68,'Incwm (Gogledd)'!W68)</f>
        <v>44945.386032827257</v>
      </c>
      <c r="AE68" s="4">
        <f>IF('Rhaniad y Ddeiliadaeth (Cymru)'!$D$8="Amcangyfrifon LlC",'Incwm (Gogledd)'!F68,'Incwm (Gogledd)'!X68)</f>
        <v>46581.992747554832</v>
      </c>
      <c r="AF68" s="4">
        <f>IF('Rhaniad y Ddeiliadaeth (Cymru)'!$D$8="Amcangyfrifon LlC",'Incwm (Gogledd)'!G68,'Incwm (Gogledd)'!Y68)</f>
        <v>48477.111065293364</v>
      </c>
      <c r="AG68" s="4">
        <f>IF('Rhaniad y Ddeiliadaeth (Cymru)'!$D$8="Amcangyfrifon LlC",'Incwm (Gogledd)'!H68,'Incwm (Gogledd)'!Z68)</f>
        <v>50496.05813045823</v>
      </c>
    </row>
    <row r="69" spans="2:33" x14ac:dyDescent="0.25">
      <c r="B69" s="20">
        <v>75</v>
      </c>
      <c r="C69" s="56">
        <v>43190.6</v>
      </c>
      <c r="D69" s="57">
        <f>C69*(1+'Rhaniad y Ddeiliadaeth (Gog)'!C$109)+(C$44*(-(50-$B69)*('Rhaniad y Ddeiliadaeth (Gog)'!C$110/40)))</f>
        <v>44877.725769563956</v>
      </c>
      <c r="E69" s="57">
        <f>D69*(1+'Rhaniad y Ddeiliadaeth (Gog)'!D$109)+(D$44*(-(50-$B69)*('Rhaniad y Ddeiliadaeth (Gog)'!D$110/40)))</f>
        <v>46196.372483114814</v>
      </c>
      <c r="F69" s="57">
        <f>E69*(1+'Rhaniad y Ddeiliadaeth (Gog)'!E$109)+(E$44*(-(50-$B69)*('Rhaniad y Ddeiliadaeth (Gog)'!E$110/40)))</f>
        <v>47880.776266551984</v>
      </c>
      <c r="G69" s="57">
        <f>F69*(1+'Rhaniad y Ddeiliadaeth (Gog)'!F$109)+(F$44*(-(50-$B69)*('Rhaniad y Ddeiliadaeth (Gog)'!F$110/40)))</f>
        <v>49831.043803497247</v>
      </c>
      <c r="H69" s="58">
        <f>G69*(1+'Rhaniad y Ddeiliadaeth (Gog)'!G$109)+(G$44*(-(50-$B69)*('Rhaniad y Ddeiliadaeth (Gog)'!G$110/40)))</f>
        <v>51908.766243985447</v>
      </c>
      <c r="L69" s="62" t="str">
        <f t="shared" si="4"/>
        <v/>
      </c>
      <c r="M69" s="227"/>
      <c r="N69" s="36">
        <f t="shared" ref="N69:N84" si="7">IF(ISBLANK(M69),1,0)</f>
        <v>1</v>
      </c>
      <c r="T69" s="1">
        <f t="shared" si="5"/>
        <v>75</v>
      </c>
      <c r="U69" s="4" t="str">
        <f t="shared" si="6"/>
        <v/>
      </c>
      <c r="V69" s="4" t="e">
        <f>IF($V$3=$M$3,M69,U69*(1+'Rhaniad y Ddeiliadaeth (Gog)'!C$109)+(U$44*(-(50-$T69)*('Rhaniad y Ddeiliadaeth (Gog)'!C$110/40))))</f>
        <v>#VALUE!</v>
      </c>
      <c r="W69" s="4" t="e">
        <f>V69*(1+'Rhaniad y Ddeiliadaeth (Gog)'!D$109)+(V$44*(-(50-$T69)*('Rhaniad y Ddeiliadaeth (Gog)'!D$110/40)))</f>
        <v>#VALUE!</v>
      </c>
      <c r="X69" s="4" t="e">
        <f>W69*(1+'Rhaniad y Ddeiliadaeth (Gog)'!E$109)+(W$44*(-(50-$T69)*('Rhaniad y Ddeiliadaeth (Gog)'!E$110/40)))</f>
        <v>#VALUE!</v>
      </c>
      <c r="Y69" s="4" t="e">
        <f>X69*(1+'Rhaniad y Ddeiliadaeth (Gog)'!F$109)+(X$44*(-(50-$T69)*('Rhaniad y Ddeiliadaeth (Gog)'!F$110/40)))</f>
        <v>#VALUE!</v>
      </c>
      <c r="Z69" s="4" t="e">
        <f>Y69*(1+'Rhaniad y Ddeiliadaeth (Gog)'!G$109)+(Y$44*(-(50-$T69)*('Rhaniad y Ddeiliadaeth (Gog)'!G$110/40)))</f>
        <v>#VALUE!</v>
      </c>
      <c r="AB69" s="1">
        <v>75</v>
      </c>
      <c r="AC69" s="4">
        <f>IF('Rhaniad y Ddeiliadaeth (Cymru)'!$D$8="Amcangyfrifon LlC",'Incwm (Gogledd)'!D69,'Incwm (Gogledd)'!V69)</f>
        <v>44877.725769563956</v>
      </c>
      <c r="AD69" s="4">
        <f>IF('Rhaniad y Ddeiliadaeth (Cymru)'!$D$8="Amcangyfrifon LlC",'Incwm (Gogledd)'!E69,'Incwm (Gogledd)'!W69)</f>
        <v>46196.372483114814</v>
      </c>
      <c r="AE69" s="4">
        <f>IF('Rhaniad y Ddeiliadaeth (Cymru)'!$D$8="Amcangyfrifon LlC",'Incwm (Gogledd)'!F69,'Incwm (Gogledd)'!X69)</f>
        <v>47880.776266551984</v>
      </c>
      <c r="AF69" s="4">
        <f>IF('Rhaniad y Ddeiliadaeth (Cymru)'!$D$8="Amcangyfrifon LlC",'Incwm (Gogledd)'!G69,'Incwm (Gogledd)'!Y69)</f>
        <v>49831.043803497247</v>
      </c>
      <c r="AG69" s="4">
        <f>IF('Rhaniad y Ddeiliadaeth (Cymru)'!$D$8="Amcangyfrifon LlC",'Incwm (Gogledd)'!H69,'Incwm (Gogledd)'!Z69)</f>
        <v>51908.766243985447</v>
      </c>
    </row>
    <row r="70" spans="2:33" x14ac:dyDescent="0.25">
      <c r="B70" s="20">
        <v>76</v>
      </c>
      <c r="C70" s="56">
        <v>44720.14</v>
      </c>
      <c r="D70" s="57">
        <f>C70*(1+'Rhaniad y Ddeiliadaeth (Gog)'!C$109)+(C$44*(-(50-$B70)*('Rhaniad y Ddeiliadaeth (Gog)'!C$110/40)))</f>
        <v>46467.743110842006</v>
      </c>
      <c r="E70" s="57">
        <f>D70*(1+'Rhaniad y Ddeiliadaeth (Gog)'!D$109)+(D$44*(-(50-$B70)*('Rhaniad y Ddeiliadaeth (Gog)'!D$110/40)))</f>
        <v>47833.862540619382</v>
      </c>
      <c r="F70" s="57">
        <f>E70*(1+'Rhaniad y Ddeiliadaeth (Gog)'!E$109)+(E$44*(-(50-$B70)*('Rhaniad y Ddeiliadaeth (Gog)'!E$110/40)))</f>
        <v>49578.741875057996</v>
      </c>
      <c r="G70" s="57">
        <f>F70*(1+'Rhaniad y Ddeiliadaeth (Gog)'!F$109)+(F$44*(-(50-$B70)*('Rhaniad y Ddeiliadaeth (Gog)'!F$110/40)))</f>
        <v>51598.962639326608</v>
      </c>
      <c r="H70" s="58">
        <f>G70*(1+'Rhaniad y Ddeiliadaeth (Gog)'!G$109)+(G$44*(-(50-$B70)*('Rhaniad y Ddeiliadaeth (Gog)'!G$110/40)))</f>
        <v>53751.217686331962</v>
      </c>
      <c r="L70" s="62" t="str">
        <f t="shared" si="4"/>
        <v/>
      </c>
      <c r="M70" s="227"/>
      <c r="N70" s="36">
        <f t="shared" si="7"/>
        <v>1</v>
      </c>
      <c r="T70" s="1">
        <f t="shared" si="5"/>
        <v>76</v>
      </c>
      <c r="U70" s="4" t="str">
        <f t="shared" si="6"/>
        <v/>
      </c>
      <c r="V70" s="4" t="e">
        <f>IF($V$3=$M$3,M70,U70*(1+'Rhaniad y Ddeiliadaeth (Gog)'!C$109)+(U$44*(-(50-$T70)*('Rhaniad y Ddeiliadaeth (Gog)'!C$110/40))))</f>
        <v>#VALUE!</v>
      </c>
      <c r="W70" s="4" t="e">
        <f>V70*(1+'Rhaniad y Ddeiliadaeth (Gog)'!D$109)+(V$44*(-(50-$T70)*('Rhaniad y Ddeiliadaeth (Gog)'!D$110/40)))</f>
        <v>#VALUE!</v>
      </c>
      <c r="X70" s="4" t="e">
        <f>W70*(1+'Rhaniad y Ddeiliadaeth (Gog)'!E$109)+(W$44*(-(50-$T70)*('Rhaniad y Ddeiliadaeth (Gog)'!E$110/40)))</f>
        <v>#VALUE!</v>
      </c>
      <c r="Y70" s="4" t="e">
        <f>X70*(1+'Rhaniad y Ddeiliadaeth (Gog)'!F$109)+(X$44*(-(50-$T70)*('Rhaniad y Ddeiliadaeth (Gog)'!F$110/40)))</f>
        <v>#VALUE!</v>
      </c>
      <c r="Z70" s="4" t="e">
        <f>Y70*(1+'Rhaniad y Ddeiliadaeth (Gog)'!G$109)+(Y$44*(-(50-$T70)*('Rhaniad y Ddeiliadaeth (Gog)'!G$110/40)))</f>
        <v>#VALUE!</v>
      </c>
      <c r="AB70" s="1">
        <v>76</v>
      </c>
      <c r="AC70" s="4">
        <f>IF('Rhaniad y Ddeiliadaeth (Cymru)'!$D$8="Amcangyfrifon LlC",'Incwm (Gogledd)'!D70,'Incwm (Gogledd)'!V70)</f>
        <v>46467.743110842006</v>
      </c>
      <c r="AD70" s="4">
        <f>IF('Rhaniad y Ddeiliadaeth (Cymru)'!$D$8="Amcangyfrifon LlC",'Incwm (Gogledd)'!E70,'Incwm (Gogledd)'!W70)</f>
        <v>47833.862540619382</v>
      </c>
      <c r="AE70" s="4">
        <f>IF('Rhaniad y Ddeiliadaeth (Cymru)'!$D$8="Amcangyfrifon LlC",'Incwm (Gogledd)'!F70,'Incwm (Gogledd)'!X70)</f>
        <v>49578.741875057996</v>
      </c>
      <c r="AF70" s="4">
        <f>IF('Rhaniad y Ddeiliadaeth (Cymru)'!$D$8="Amcangyfrifon LlC",'Incwm (Gogledd)'!G70,'Incwm (Gogledd)'!Y70)</f>
        <v>51598.962639326608</v>
      </c>
      <c r="AG70" s="4">
        <f>IF('Rhaniad y Ddeiliadaeth (Cymru)'!$D$8="Amcangyfrifon LlC",'Incwm (Gogledd)'!H70,'Incwm (Gogledd)'!Z70)</f>
        <v>53751.217686331962</v>
      </c>
    </row>
    <row r="71" spans="2:33" x14ac:dyDescent="0.25">
      <c r="B71" s="20">
        <v>77</v>
      </c>
      <c r="C71" s="56">
        <v>45677</v>
      </c>
      <c r="D71" s="57">
        <f>C71*(1+'Rhaniad y Ddeiliadaeth (Gog)'!C$109)+(C$44*(-(50-$B71)*('Rhaniad y Ddeiliadaeth (Gog)'!C$110/40)))</f>
        <v>47464.820544073773</v>
      </c>
      <c r="E71" s="57">
        <f>D71*(1+'Rhaniad y Ddeiliadaeth (Gog)'!D$109)+(D$44*(-(50-$B71)*('Rhaniad y Ddeiliadaeth (Gog)'!D$110/40)))</f>
        <v>48863.167496785696</v>
      </c>
      <c r="F71" s="57">
        <f>E71*(1+'Rhaniad y Ddeiliadaeth (Gog)'!E$109)+(E$44*(-(50-$B71)*('Rhaniad y Ddeiliadaeth (Gog)'!E$110/40)))</f>
        <v>50648.572079321711</v>
      </c>
      <c r="G71" s="57">
        <f>F71*(1+'Rhaniad y Ddeiliadaeth (Gog)'!F$109)+(F$44*(-(50-$B71)*('Rhaniad y Ddeiliadaeth (Gog)'!F$110/40)))</f>
        <v>52715.451133923438</v>
      </c>
      <c r="H71" s="58">
        <f>G71*(1+'Rhaniad y Ddeiliadaeth (Gog)'!G$109)+(G$44*(-(50-$B71)*('Rhaniad y Ddeiliadaeth (Gog)'!G$110/40)))</f>
        <v>54917.443900486345</v>
      </c>
      <c r="L71" s="62" t="str">
        <f t="shared" si="4"/>
        <v/>
      </c>
      <c r="M71" s="227"/>
      <c r="N71" s="36">
        <f t="shared" si="7"/>
        <v>1</v>
      </c>
      <c r="T71" s="1">
        <f t="shared" si="5"/>
        <v>77</v>
      </c>
      <c r="U71" s="4" t="str">
        <f t="shared" si="6"/>
        <v/>
      </c>
      <c r="V71" s="4" t="e">
        <f>IF($V$3=$M$3,M71,U71*(1+'Rhaniad y Ddeiliadaeth (Gog)'!C$109)+(U$44*(-(50-$T71)*('Rhaniad y Ddeiliadaeth (Gog)'!C$110/40))))</f>
        <v>#VALUE!</v>
      </c>
      <c r="W71" s="4" t="e">
        <f>V71*(1+'Rhaniad y Ddeiliadaeth (Gog)'!D$109)+(V$44*(-(50-$T71)*('Rhaniad y Ddeiliadaeth (Gog)'!D$110/40)))</f>
        <v>#VALUE!</v>
      </c>
      <c r="X71" s="4" t="e">
        <f>W71*(1+'Rhaniad y Ddeiliadaeth (Gog)'!E$109)+(W$44*(-(50-$T71)*('Rhaniad y Ddeiliadaeth (Gog)'!E$110/40)))</f>
        <v>#VALUE!</v>
      </c>
      <c r="Y71" s="4" t="e">
        <f>X71*(1+'Rhaniad y Ddeiliadaeth (Gog)'!F$109)+(X$44*(-(50-$T71)*('Rhaniad y Ddeiliadaeth (Gog)'!F$110/40)))</f>
        <v>#VALUE!</v>
      </c>
      <c r="Z71" s="4" t="e">
        <f>Y71*(1+'Rhaniad y Ddeiliadaeth (Gog)'!G$109)+(Y$44*(-(50-$T71)*('Rhaniad y Ddeiliadaeth (Gog)'!G$110/40)))</f>
        <v>#VALUE!</v>
      </c>
      <c r="AB71" s="1">
        <v>77</v>
      </c>
      <c r="AC71" s="4">
        <f>IF('Rhaniad y Ddeiliadaeth (Cymru)'!$D$8="Amcangyfrifon LlC",'Incwm (Gogledd)'!D71,'Incwm (Gogledd)'!V71)</f>
        <v>47464.820544073773</v>
      </c>
      <c r="AD71" s="4">
        <f>IF('Rhaniad y Ddeiliadaeth (Cymru)'!$D$8="Amcangyfrifon LlC",'Incwm (Gogledd)'!E71,'Incwm (Gogledd)'!W71)</f>
        <v>48863.167496785696</v>
      </c>
      <c r="AE71" s="4">
        <f>IF('Rhaniad y Ddeiliadaeth (Cymru)'!$D$8="Amcangyfrifon LlC",'Incwm (Gogledd)'!F71,'Incwm (Gogledd)'!X71)</f>
        <v>50648.572079321711</v>
      </c>
      <c r="AF71" s="4">
        <f>IF('Rhaniad y Ddeiliadaeth (Cymru)'!$D$8="Amcangyfrifon LlC",'Incwm (Gogledd)'!G71,'Incwm (Gogledd)'!Y71)</f>
        <v>52715.451133923438</v>
      </c>
      <c r="AG71" s="4">
        <f>IF('Rhaniad y Ddeiliadaeth (Cymru)'!$D$8="Amcangyfrifon LlC",'Incwm (Gogledd)'!H71,'Incwm (Gogledd)'!Z71)</f>
        <v>54917.443900486345</v>
      </c>
    </row>
    <row r="72" spans="2:33" x14ac:dyDescent="0.25">
      <c r="B72" s="20">
        <v>78</v>
      </c>
      <c r="C72" s="56">
        <v>46612.5</v>
      </c>
      <c r="D72" s="57">
        <f>C72*(1+'Rhaniad y Ddeiliadaeth (Gog)'!C$109)+(C$44*(-(50-$B72)*('Rhaniad y Ddeiliadaeth (Gog)'!C$110/40)))</f>
        <v>48439.782316839191</v>
      </c>
      <c r="E72" s="57">
        <f>D72*(1+'Rhaniad y Ddeiliadaeth (Gog)'!D$109)+(D$44*(-(50-$B72)*('Rhaniad y Ddeiliadaeth (Gog)'!D$110/40)))</f>
        <v>49869.788172438311</v>
      </c>
      <c r="F72" s="57">
        <f>E72*(1+'Rhaniad y Ddeiliadaeth (Gog)'!E$109)+(E$44*(-(50-$B72)*('Rhaniad y Ddeiliadaeth (Gog)'!E$110/40)))</f>
        <v>51694.973890356021</v>
      </c>
      <c r="G72" s="57">
        <f>F72*(1+'Rhaniad y Ddeiliadaeth (Gog)'!F$109)+(F$44*(-(50-$B72)*('Rhaniad y Ddeiliadaeth (Gog)'!F$110/40)))</f>
        <v>53807.64237335381</v>
      </c>
      <c r="H72" s="58">
        <f>G72*(1+'Rhaniad y Ddeiliadaeth (Gog)'!G$109)+(G$44*(-(50-$B72)*('Rhaniad y Ddeiliadaeth (Gog)'!G$110/40)))</f>
        <v>56058.448051928252</v>
      </c>
      <c r="L72" s="62" t="str">
        <f t="shared" si="4"/>
        <v/>
      </c>
      <c r="M72" s="227"/>
      <c r="N72" s="36">
        <f t="shared" si="7"/>
        <v>1</v>
      </c>
      <c r="T72" s="1">
        <f t="shared" si="5"/>
        <v>78</v>
      </c>
      <c r="U72" s="4" t="str">
        <f t="shared" si="6"/>
        <v/>
      </c>
      <c r="V72" s="4" t="e">
        <f>IF($V$3=$M$3,M72,U72*(1+'Rhaniad y Ddeiliadaeth (Gog)'!C$109)+(U$44*(-(50-$T72)*('Rhaniad y Ddeiliadaeth (Gog)'!C$110/40))))</f>
        <v>#VALUE!</v>
      </c>
      <c r="W72" s="4" t="e">
        <f>V72*(1+'Rhaniad y Ddeiliadaeth (Gog)'!D$109)+(V$44*(-(50-$T72)*('Rhaniad y Ddeiliadaeth (Gog)'!D$110/40)))</f>
        <v>#VALUE!</v>
      </c>
      <c r="X72" s="4" t="e">
        <f>W72*(1+'Rhaniad y Ddeiliadaeth (Gog)'!E$109)+(W$44*(-(50-$T72)*('Rhaniad y Ddeiliadaeth (Gog)'!E$110/40)))</f>
        <v>#VALUE!</v>
      </c>
      <c r="Y72" s="4" t="e">
        <f>X72*(1+'Rhaniad y Ddeiliadaeth (Gog)'!F$109)+(X$44*(-(50-$T72)*('Rhaniad y Ddeiliadaeth (Gog)'!F$110/40)))</f>
        <v>#VALUE!</v>
      </c>
      <c r="Z72" s="4" t="e">
        <f>Y72*(1+'Rhaniad y Ddeiliadaeth (Gog)'!G$109)+(Y$44*(-(50-$T72)*('Rhaniad y Ddeiliadaeth (Gog)'!G$110/40)))</f>
        <v>#VALUE!</v>
      </c>
      <c r="AB72" s="1">
        <v>78</v>
      </c>
      <c r="AC72" s="4">
        <f>IF('Rhaniad y Ddeiliadaeth (Cymru)'!$D$8="Amcangyfrifon LlC",'Incwm (Gogledd)'!D72,'Incwm (Gogledd)'!V72)</f>
        <v>48439.782316839191</v>
      </c>
      <c r="AD72" s="4">
        <f>IF('Rhaniad y Ddeiliadaeth (Cymru)'!$D$8="Amcangyfrifon LlC",'Incwm (Gogledd)'!E72,'Incwm (Gogledd)'!W72)</f>
        <v>49869.788172438311</v>
      </c>
      <c r="AE72" s="4">
        <f>IF('Rhaniad y Ddeiliadaeth (Cymru)'!$D$8="Amcangyfrifon LlC",'Incwm (Gogledd)'!F72,'Incwm (Gogledd)'!X72)</f>
        <v>51694.973890356021</v>
      </c>
      <c r="AF72" s="4">
        <f>IF('Rhaniad y Ddeiliadaeth (Cymru)'!$D$8="Amcangyfrifon LlC",'Incwm (Gogledd)'!G72,'Incwm (Gogledd)'!Y72)</f>
        <v>53807.64237335381</v>
      </c>
      <c r="AG72" s="4">
        <f>IF('Rhaniad y Ddeiliadaeth (Cymru)'!$D$8="Amcangyfrifon LlC",'Incwm (Gogledd)'!H72,'Incwm (Gogledd)'!Z72)</f>
        <v>56058.448051928252</v>
      </c>
    </row>
    <row r="73" spans="2:33" x14ac:dyDescent="0.25">
      <c r="B73" s="20">
        <v>79</v>
      </c>
      <c r="C73" s="56">
        <v>48255.5</v>
      </c>
      <c r="D73" s="57">
        <f>C73*(1+'Rhaniad y Ddeiliadaeth (Gog)'!C$109)+(C$44*(-(50-$B73)*('Rhaniad y Ddeiliadaeth (Gog)'!C$110/40)))</f>
        <v>50147.273573684281</v>
      </c>
      <c r="E73" s="57">
        <f>D73*(1+'Rhaniad y Ddeiliadaeth (Gog)'!D$109)+(D$44*(-(50-$B73)*('Rhaniad y Ddeiliadaeth (Gog)'!D$110/40)))</f>
        <v>51627.772540199636</v>
      </c>
      <c r="F73" s="57">
        <f>E73*(1+'Rhaniad y Ddeiliadaeth (Gog)'!E$109)+(E$44*(-(50-$B73)*('Rhaniad y Ddeiliadaeth (Gog)'!E$110/40)))</f>
        <v>53517.386385369915</v>
      </c>
      <c r="G73" s="57">
        <f>F73*(1+'Rhaniad y Ddeiliadaeth (Gog)'!F$109)+(F$44*(-(50-$B73)*('Rhaniad y Ddeiliadaeth (Gog)'!F$110/40)))</f>
        <v>55704.623314575794</v>
      </c>
      <c r="H73" s="58">
        <f>G73*(1+'Rhaniad y Ddeiliadaeth (Gog)'!G$109)+(G$44*(-(50-$B73)*('Rhaniad y Ddeiliadaeth (Gog)'!G$110/40)))</f>
        <v>58034.873990312146</v>
      </c>
      <c r="L73" s="62" t="str">
        <f t="shared" si="4"/>
        <v/>
      </c>
      <c r="M73" s="227"/>
      <c r="N73" s="36">
        <f t="shared" si="7"/>
        <v>1</v>
      </c>
      <c r="T73" s="1">
        <f t="shared" si="5"/>
        <v>79</v>
      </c>
      <c r="U73" s="4" t="str">
        <f t="shared" si="6"/>
        <v/>
      </c>
      <c r="V73" s="4" t="e">
        <f>IF($V$3=$M$3,M73,U73*(1+'Rhaniad y Ddeiliadaeth (Gog)'!C$109)+(U$44*(-(50-$T73)*('Rhaniad y Ddeiliadaeth (Gog)'!C$110/40))))</f>
        <v>#VALUE!</v>
      </c>
      <c r="W73" s="4" t="e">
        <f>V73*(1+'Rhaniad y Ddeiliadaeth (Gog)'!D$109)+(V$44*(-(50-$T73)*('Rhaniad y Ddeiliadaeth (Gog)'!D$110/40)))</f>
        <v>#VALUE!</v>
      </c>
      <c r="X73" s="4" t="e">
        <f>W73*(1+'Rhaniad y Ddeiliadaeth (Gog)'!E$109)+(W$44*(-(50-$T73)*('Rhaniad y Ddeiliadaeth (Gog)'!E$110/40)))</f>
        <v>#VALUE!</v>
      </c>
      <c r="Y73" s="4" t="e">
        <f>X73*(1+'Rhaniad y Ddeiliadaeth (Gog)'!F$109)+(X$44*(-(50-$T73)*('Rhaniad y Ddeiliadaeth (Gog)'!F$110/40)))</f>
        <v>#VALUE!</v>
      </c>
      <c r="Z73" s="4" t="e">
        <f>Y73*(1+'Rhaniad y Ddeiliadaeth (Gog)'!G$109)+(Y$44*(-(50-$T73)*('Rhaniad y Ddeiliadaeth (Gog)'!G$110/40)))</f>
        <v>#VALUE!</v>
      </c>
      <c r="AB73" s="1">
        <v>79</v>
      </c>
      <c r="AC73" s="4">
        <f>IF('Rhaniad y Ddeiliadaeth (Cymru)'!$D$8="Amcangyfrifon LlC",'Incwm (Gogledd)'!D73,'Incwm (Gogledd)'!V73)</f>
        <v>50147.273573684281</v>
      </c>
      <c r="AD73" s="4">
        <f>IF('Rhaniad y Ddeiliadaeth (Cymru)'!$D$8="Amcangyfrifon LlC",'Incwm (Gogledd)'!E73,'Incwm (Gogledd)'!W73)</f>
        <v>51627.772540199636</v>
      </c>
      <c r="AE73" s="4">
        <f>IF('Rhaniad y Ddeiliadaeth (Cymru)'!$D$8="Amcangyfrifon LlC",'Incwm (Gogledd)'!F73,'Incwm (Gogledd)'!X73)</f>
        <v>53517.386385369915</v>
      </c>
      <c r="AF73" s="4">
        <f>IF('Rhaniad y Ddeiliadaeth (Cymru)'!$D$8="Amcangyfrifon LlC",'Incwm (Gogledd)'!G73,'Incwm (Gogledd)'!Y73)</f>
        <v>55704.623314575794</v>
      </c>
      <c r="AG73" s="4">
        <f>IF('Rhaniad y Ddeiliadaeth (Cymru)'!$D$8="Amcangyfrifon LlC",'Incwm (Gogledd)'!H73,'Incwm (Gogledd)'!Z73)</f>
        <v>58034.873990312146</v>
      </c>
    </row>
    <row r="74" spans="2:33" x14ac:dyDescent="0.25">
      <c r="B74" s="20">
        <v>80</v>
      </c>
      <c r="C74" s="56">
        <v>49285</v>
      </c>
      <c r="D74" s="57">
        <f>C74*(1+'Rhaniad y Ddeiliadaeth (Gog)'!C$109)+(C$44*(-(50-$B74)*('Rhaniad y Ddeiliadaeth (Gog)'!C$110/40)))</f>
        <v>51219.560818539445</v>
      </c>
      <c r="E74" s="57">
        <f>D74*(1+'Rhaniad y Ddeiliadaeth (Gog)'!D$109)+(D$44*(-(50-$B74)*('Rhaniad y Ddeiliadaeth (Gog)'!D$110/40)))</f>
        <v>52734.221042082958</v>
      </c>
      <c r="F74" s="57">
        <f>E74*(1+'Rhaniad y Ddeiliadaeth (Gog)'!E$109)+(E$44*(-(50-$B74)*('Rhaniad y Ddeiliadaeth (Gog)'!E$110/40)))</f>
        <v>54666.890675971845</v>
      </c>
      <c r="G74" s="57">
        <f>F74*(1+'Rhaniad y Ddeiliadaeth (Gog)'!F$109)+(F$44*(-(50-$B74)*('Rhaniad y Ddeiliadaeth (Gog)'!F$110/40)))</f>
        <v>56903.74067692973</v>
      </c>
      <c r="H74" s="58">
        <f>G74*(1+'Rhaniad y Ddeiliadaeth (Gog)'!G$109)+(G$44*(-(50-$B74)*('Rhaniad y Ddeiliadaeth (Gog)'!G$110/40)))</f>
        <v>59286.87411061985</v>
      </c>
      <c r="L74" s="62" t="str">
        <f t="shared" si="4"/>
        <v/>
      </c>
      <c r="M74" s="227"/>
      <c r="N74" s="36">
        <f t="shared" si="7"/>
        <v>1</v>
      </c>
      <c r="T74" s="1">
        <f t="shared" si="5"/>
        <v>80</v>
      </c>
      <c r="U74" s="4" t="str">
        <f t="shared" si="6"/>
        <v/>
      </c>
      <c r="V74" s="4" t="e">
        <f>IF($V$3=$M$3,M74,U74*(1+'Rhaniad y Ddeiliadaeth (Gog)'!C$109)+(U$44*(-(50-$T74)*('Rhaniad y Ddeiliadaeth (Gog)'!C$110/40))))</f>
        <v>#VALUE!</v>
      </c>
      <c r="W74" s="4" t="e">
        <f>V74*(1+'Rhaniad y Ddeiliadaeth (Gog)'!D$109)+(V$44*(-(50-$T74)*('Rhaniad y Ddeiliadaeth (Gog)'!D$110/40)))</f>
        <v>#VALUE!</v>
      </c>
      <c r="X74" s="4" t="e">
        <f>W74*(1+'Rhaniad y Ddeiliadaeth (Gog)'!E$109)+(W$44*(-(50-$T74)*('Rhaniad y Ddeiliadaeth (Gog)'!E$110/40)))</f>
        <v>#VALUE!</v>
      </c>
      <c r="Y74" s="4" t="e">
        <f>X74*(1+'Rhaniad y Ddeiliadaeth (Gog)'!F$109)+(X$44*(-(50-$T74)*('Rhaniad y Ddeiliadaeth (Gog)'!F$110/40)))</f>
        <v>#VALUE!</v>
      </c>
      <c r="Z74" s="4" t="e">
        <f>Y74*(1+'Rhaniad y Ddeiliadaeth (Gog)'!G$109)+(Y$44*(-(50-$T74)*('Rhaniad y Ddeiliadaeth (Gog)'!G$110/40)))</f>
        <v>#VALUE!</v>
      </c>
      <c r="AB74" s="1">
        <v>80</v>
      </c>
      <c r="AC74" s="4">
        <f>IF('Rhaniad y Ddeiliadaeth (Cymru)'!$D$8="Amcangyfrifon LlC",'Incwm (Gogledd)'!D74,'Incwm (Gogledd)'!V74)</f>
        <v>51219.560818539445</v>
      </c>
      <c r="AD74" s="4">
        <f>IF('Rhaniad y Ddeiliadaeth (Cymru)'!$D$8="Amcangyfrifon LlC",'Incwm (Gogledd)'!E74,'Incwm (Gogledd)'!W74)</f>
        <v>52734.221042082958</v>
      </c>
      <c r="AE74" s="4">
        <f>IF('Rhaniad y Ddeiliadaeth (Cymru)'!$D$8="Amcangyfrifon LlC",'Incwm (Gogledd)'!F74,'Incwm (Gogledd)'!X74)</f>
        <v>54666.890675971845</v>
      </c>
      <c r="AF74" s="4">
        <f>IF('Rhaniad y Ddeiliadaeth (Cymru)'!$D$8="Amcangyfrifon LlC",'Incwm (Gogledd)'!G74,'Incwm (Gogledd)'!Y74)</f>
        <v>56903.74067692973</v>
      </c>
      <c r="AG74" s="4">
        <f>IF('Rhaniad y Ddeiliadaeth (Cymru)'!$D$8="Amcangyfrifon LlC",'Incwm (Gogledd)'!H74,'Incwm (Gogledd)'!Z74)</f>
        <v>59286.87411061985</v>
      </c>
    </row>
    <row r="75" spans="2:33" x14ac:dyDescent="0.25">
      <c r="B75" s="20">
        <v>81</v>
      </c>
      <c r="C75" s="56">
        <v>50654.75</v>
      </c>
      <c r="D75" s="57">
        <f>C75*(1+'Rhaniad y Ddeiliadaeth (Gog)'!C$109)+(C$44*(-(50-$B75)*('Rhaniad y Ddeiliadaeth (Gog)'!C$110/40)))</f>
        <v>52644.135211038571</v>
      </c>
      <c r="E75" s="57">
        <f>D75*(1+'Rhaniad y Ddeiliadaeth (Gog)'!D$109)+(D$44*(-(50-$B75)*('Rhaniad y Ddeiliadaeth (Gog)'!D$110/40)))</f>
        <v>54202.01441497686</v>
      </c>
      <c r="F75" s="57">
        <f>E75*(1+'Rhaniad y Ddeiliadaeth (Gog)'!E$109)+(E$44*(-(50-$B75)*('Rhaniad y Ddeiliadaeth (Gog)'!E$110/40)))</f>
        <v>56189.593037561826</v>
      </c>
      <c r="G75" s="57">
        <f>F75*(1+'Rhaniad y Ddeiliadaeth (Gog)'!F$109)+(F$44*(-(50-$B75)*('Rhaniad y Ddeiliadaeth (Gog)'!F$110/40)))</f>
        <v>58489.896478908529</v>
      </c>
      <c r="H75" s="58">
        <f>G75*(1+'Rhaniad y Ddeiliadaeth (Gog)'!G$109)+(G$44*(-(50-$B75)*('Rhaniad y Ddeiliadaeth (Gog)'!G$110/40)))</f>
        <v>60940.644213976331</v>
      </c>
      <c r="L75" s="62" t="str">
        <f t="shared" si="4"/>
        <v/>
      </c>
      <c r="M75" s="227"/>
      <c r="N75" s="36">
        <f t="shared" si="7"/>
        <v>1</v>
      </c>
      <c r="T75" s="1">
        <f t="shared" si="5"/>
        <v>81</v>
      </c>
      <c r="U75" s="4" t="str">
        <f t="shared" si="6"/>
        <v/>
      </c>
      <c r="V75" s="4" t="e">
        <f>IF($V$3=$M$3,M75,U75*(1+'Rhaniad y Ddeiliadaeth (Gog)'!C$109)+(U$44*(-(50-$T75)*('Rhaniad y Ddeiliadaeth (Gog)'!C$110/40))))</f>
        <v>#VALUE!</v>
      </c>
      <c r="W75" s="4" t="e">
        <f>V75*(1+'Rhaniad y Ddeiliadaeth (Gog)'!D$109)+(V$44*(-(50-$T75)*('Rhaniad y Ddeiliadaeth (Gog)'!D$110/40)))</f>
        <v>#VALUE!</v>
      </c>
      <c r="X75" s="4" t="e">
        <f>W75*(1+'Rhaniad y Ddeiliadaeth (Gog)'!E$109)+(W$44*(-(50-$T75)*('Rhaniad y Ddeiliadaeth (Gog)'!E$110/40)))</f>
        <v>#VALUE!</v>
      </c>
      <c r="Y75" s="4" t="e">
        <f>X75*(1+'Rhaniad y Ddeiliadaeth (Gog)'!F$109)+(X$44*(-(50-$T75)*('Rhaniad y Ddeiliadaeth (Gog)'!F$110/40)))</f>
        <v>#VALUE!</v>
      </c>
      <c r="Z75" s="4" t="e">
        <f>Y75*(1+'Rhaniad y Ddeiliadaeth (Gog)'!G$109)+(Y$44*(-(50-$T75)*('Rhaniad y Ddeiliadaeth (Gog)'!G$110/40)))</f>
        <v>#VALUE!</v>
      </c>
      <c r="AB75" s="1">
        <v>81</v>
      </c>
      <c r="AC75" s="4">
        <f>IF('Rhaniad y Ddeiliadaeth (Cymru)'!$D$8="Amcangyfrifon LlC",'Incwm (Gogledd)'!D75,'Incwm (Gogledd)'!V75)</f>
        <v>52644.135211038571</v>
      </c>
      <c r="AD75" s="4">
        <f>IF('Rhaniad y Ddeiliadaeth (Cymru)'!$D$8="Amcangyfrifon LlC",'Incwm (Gogledd)'!E75,'Incwm (Gogledd)'!W75)</f>
        <v>54202.01441497686</v>
      </c>
      <c r="AE75" s="4">
        <f>IF('Rhaniad y Ddeiliadaeth (Cymru)'!$D$8="Amcangyfrifon LlC",'Incwm (Gogledd)'!F75,'Incwm (Gogledd)'!X75)</f>
        <v>56189.593037561826</v>
      </c>
      <c r="AF75" s="4">
        <f>IF('Rhaniad y Ddeiliadaeth (Cymru)'!$D$8="Amcangyfrifon LlC",'Incwm (Gogledd)'!G75,'Incwm (Gogledd)'!Y75)</f>
        <v>58489.896478908529</v>
      </c>
      <c r="AG75" s="4">
        <f>IF('Rhaniad y Ddeiliadaeth (Cymru)'!$D$8="Amcangyfrifon LlC",'Incwm (Gogledd)'!H75,'Incwm (Gogledd)'!Z75)</f>
        <v>60940.644213976331</v>
      </c>
    </row>
    <row r="76" spans="2:33" x14ac:dyDescent="0.25">
      <c r="B76" s="20">
        <v>82</v>
      </c>
      <c r="C76" s="56">
        <v>51775.95</v>
      </c>
      <c r="D76" s="57">
        <f>C76*(1+'Rhaniad y Ddeiliadaeth (Gog)'!C$109)+(C$44*(-(50-$B76)*('Rhaniad y Ddeiliadaeth (Gog)'!C$110/40)))</f>
        <v>53811.366560049348</v>
      </c>
      <c r="E76" s="57">
        <f>D76*(1+'Rhaniad y Ddeiliadaeth (Gog)'!D$109)+(D$44*(-(50-$B76)*('Rhaniad y Ddeiliadaeth (Gog)'!D$110/40)))</f>
        <v>55405.848147342673</v>
      </c>
      <c r="F76" s="57">
        <f>E76*(1+'Rhaniad y Ddeiliadaeth (Gog)'!E$109)+(E$44*(-(50-$B76)*('Rhaniad y Ddeiliadaeth (Gog)'!E$110/40)))</f>
        <v>57439.677087486605</v>
      </c>
      <c r="G76" s="57">
        <f>F76*(1+'Rhaniad y Ddeiliadaeth (Gog)'!F$109)+(F$44*(-(50-$B76)*('Rhaniad y Ddeiliadaeth (Gog)'!F$110/40)))</f>
        <v>59793.32368671021</v>
      </c>
      <c r="H76" s="58">
        <f>G76*(1+'Rhaniad y Ddeiliadaeth (Gog)'!G$109)+(G$44*(-(50-$B76)*('Rhaniad y Ddeiliadaeth (Gog)'!G$110/40)))</f>
        <v>62300.924444337143</v>
      </c>
      <c r="L76" s="62" t="str">
        <f t="shared" si="4"/>
        <v/>
      </c>
      <c r="M76" s="227"/>
      <c r="N76" s="36">
        <f t="shared" si="7"/>
        <v>1</v>
      </c>
      <c r="T76" s="1">
        <f t="shared" si="5"/>
        <v>82</v>
      </c>
      <c r="U76" s="4" t="str">
        <f t="shared" si="6"/>
        <v/>
      </c>
      <c r="V76" s="4" t="e">
        <f>IF($V$3=$M$3,M76,U76*(1+'Rhaniad y Ddeiliadaeth (Gog)'!C$109)+(U$44*(-(50-$T76)*('Rhaniad y Ddeiliadaeth (Gog)'!C$110/40))))</f>
        <v>#VALUE!</v>
      </c>
      <c r="W76" s="4" t="e">
        <f>V76*(1+'Rhaniad y Ddeiliadaeth (Gog)'!D$109)+(V$44*(-(50-$T76)*('Rhaniad y Ddeiliadaeth (Gog)'!D$110/40)))</f>
        <v>#VALUE!</v>
      </c>
      <c r="X76" s="4" t="e">
        <f>W76*(1+'Rhaniad y Ddeiliadaeth (Gog)'!E$109)+(W$44*(-(50-$T76)*('Rhaniad y Ddeiliadaeth (Gog)'!E$110/40)))</f>
        <v>#VALUE!</v>
      </c>
      <c r="Y76" s="4" t="e">
        <f>X76*(1+'Rhaniad y Ddeiliadaeth (Gog)'!F$109)+(X$44*(-(50-$T76)*('Rhaniad y Ddeiliadaeth (Gog)'!F$110/40)))</f>
        <v>#VALUE!</v>
      </c>
      <c r="Z76" s="4" t="e">
        <f>Y76*(1+'Rhaniad y Ddeiliadaeth (Gog)'!G$109)+(Y$44*(-(50-$T76)*('Rhaniad y Ddeiliadaeth (Gog)'!G$110/40)))</f>
        <v>#VALUE!</v>
      </c>
      <c r="AB76" s="1">
        <v>82</v>
      </c>
      <c r="AC76" s="4">
        <f>IF('Rhaniad y Ddeiliadaeth (Cymru)'!$D$8="Amcangyfrifon LlC",'Incwm (Gogledd)'!D76,'Incwm (Gogledd)'!V76)</f>
        <v>53811.366560049348</v>
      </c>
      <c r="AD76" s="4">
        <f>IF('Rhaniad y Ddeiliadaeth (Cymru)'!$D$8="Amcangyfrifon LlC",'Incwm (Gogledd)'!E76,'Incwm (Gogledd)'!W76)</f>
        <v>55405.848147342673</v>
      </c>
      <c r="AE76" s="4">
        <f>IF('Rhaniad y Ddeiliadaeth (Cymru)'!$D$8="Amcangyfrifon LlC",'Incwm (Gogledd)'!F76,'Incwm (Gogledd)'!X76)</f>
        <v>57439.677087486605</v>
      </c>
      <c r="AF76" s="4">
        <f>IF('Rhaniad y Ddeiliadaeth (Cymru)'!$D$8="Amcangyfrifon LlC",'Incwm (Gogledd)'!G76,'Incwm (Gogledd)'!Y76)</f>
        <v>59793.32368671021</v>
      </c>
      <c r="AG76" s="4">
        <f>IF('Rhaniad y Ddeiliadaeth (Cymru)'!$D$8="Amcangyfrifon LlC",'Incwm (Gogledd)'!H76,'Incwm (Gogledd)'!Z76)</f>
        <v>62300.924444337143</v>
      </c>
    </row>
    <row r="77" spans="2:33" x14ac:dyDescent="0.25">
      <c r="B77" s="20">
        <v>83</v>
      </c>
      <c r="C77" s="56">
        <v>53053</v>
      </c>
      <c r="D77" s="57">
        <f>C77*(1+'Rhaniad y Ddeiliadaeth (Gog)'!C$109)+(C$44*(-(50-$B77)*('Rhaniad y Ddeiliadaeth (Gog)'!C$110/40)))</f>
        <v>55139.96147103019</v>
      </c>
      <c r="E77" s="57">
        <f>D77*(1+'Rhaniad y Ddeiliadaeth (Gog)'!D$109)+(D$44*(-(50-$B77)*('Rhaniad y Ddeiliadaeth (Gog)'!D$110/40)))</f>
        <v>56775.194291602682</v>
      </c>
      <c r="F77" s="57">
        <f>E77*(1+'Rhaniad y Ddeiliadaeth (Gog)'!E$109)+(E$44*(-(50-$B77)*('Rhaniad y Ddeiliadaeth (Gog)'!E$110/40)))</f>
        <v>58860.702854864699</v>
      </c>
      <c r="G77" s="57">
        <f>F77*(1+'Rhaniad y Ddeiliadaeth (Gog)'!F$109)+(F$44*(-(50-$B77)*('Rhaniad y Ddeiliadaeth (Gog)'!F$110/40)))</f>
        <v>61274.032131295251</v>
      </c>
      <c r="H77" s="58">
        <f>G77*(1+'Rhaniad y Ddeiliadaeth (Gog)'!G$109)+(G$44*(-(50-$B77)*('Rhaniad y Ddeiliadaeth (Gog)'!G$110/40)))</f>
        <v>63845.23362946108</v>
      </c>
      <c r="L77" s="62" t="str">
        <f t="shared" si="4"/>
        <v/>
      </c>
      <c r="M77" s="227"/>
      <c r="N77" s="36">
        <f t="shared" si="7"/>
        <v>1</v>
      </c>
      <c r="T77" s="1">
        <f t="shared" si="5"/>
        <v>83</v>
      </c>
      <c r="U77" s="4" t="str">
        <f t="shared" si="6"/>
        <v/>
      </c>
      <c r="V77" s="4" t="e">
        <f>IF($V$3=$M$3,M77,U77*(1+'Rhaniad y Ddeiliadaeth (Gog)'!C$109)+(U$44*(-(50-$T77)*('Rhaniad y Ddeiliadaeth (Gog)'!C$110/40))))</f>
        <v>#VALUE!</v>
      </c>
      <c r="W77" s="4" t="e">
        <f>V77*(1+'Rhaniad y Ddeiliadaeth (Gog)'!D$109)+(V$44*(-(50-$T77)*('Rhaniad y Ddeiliadaeth (Gog)'!D$110/40)))</f>
        <v>#VALUE!</v>
      </c>
      <c r="X77" s="4" t="e">
        <f>W77*(1+'Rhaniad y Ddeiliadaeth (Gog)'!E$109)+(W$44*(-(50-$T77)*('Rhaniad y Ddeiliadaeth (Gog)'!E$110/40)))</f>
        <v>#VALUE!</v>
      </c>
      <c r="Y77" s="4" t="e">
        <f>X77*(1+'Rhaniad y Ddeiliadaeth (Gog)'!F$109)+(X$44*(-(50-$T77)*('Rhaniad y Ddeiliadaeth (Gog)'!F$110/40)))</f>
        <v>#VALUE!</v>
      </c>
      <c r="Z77" s="4" t="e">
        <f>Y77*(1+'Rhaniad y Ddeiliadaeth (Gog)'!G$109)+(Y$44*(-(50-$T77)*('Rhaniad y Ddeiliadaeth (Gog)'!G$110/40)))</f>
        <v>#VALUE!</v>
      </c>
      <c r="AB77" s="1">
        <v>83</v>
      </c>
      <c r="AC77" s="4">
        <f>IF('Rhaniad y Ddeiliadaeth (Cymru)'!$D$8="Amcangyfrifon LlC",'Incwm (Gogledd)'!D77,'Incwm (Gogledd)'!V77)</f>
        <v>55139.96147103019</v>
      </c>
      <c r="AD77" s="4">
        <f>IF('Rhaniad y Ddeiliadaeth (Cymru)'!$D$8="Amcangyfrifon LlC",'Incwm (Gogledd)'!E77,'Incwm (Gogledd)'!W77)</f>
        <v>56775.194291602682</v>
      </c>
      <c r="AE77" s="4">
        <f>IF('Rhaniad y Ddeiliadaeth (Cymru)'!$D$8="Amcangyfrifon LlC",'Incwm (Gogledd)'!F77,'Incwm (Gogledd)'!X77)</f>
        <v>58860.702854864699</v>
      </c>
      <c r="AF77" s="4">
        <f>IF('Rhaniad y Ddeiliadaeth (Cymru)'!$D$8="Amcangyfrifon LlC",'Incwm (Gogledd)'!G77,'Incwm (Gogledd)'!Y77)</f>
        <v>61274.032131295251</v>
      </c>
      <c r="AG77" s="4">
        <f>IF('Rhaniad y Ddeiliadaeth (Cymru)'!$D$8="Amcangyfrifon LlC",'Incwm (Gogledd)'!H77,'Incwm (Gogledd)'!Z77)</f>
        <v>63845.23362946108</v>
      </c>
    </row>
    <row r="78" spans="2:33" x14ac:dyDescent="0.25">
      <c r="B78" s="20">
        <v>84</v>
      </c>
      <c r="C78" s="56">
        <v>54624.800000000003</v>
      </c>
      <c r="D78" s="57">
        <f>C78*(1+'Rhaniad y Ddeiliadaeth (Gog)'!C$109)+(C$44*(-(50-$B78)*('Rhaniad y Ddeiliadaeth (Gog)'!C$110/40)))</f>
        <v>56773.733859654123</v>
      </c>
      <c r="E78" s="57">
        <f>D78*(1+'Rhaniad y Ddeiliadaeth (Gog)'!D$109)+(D$44*(-(50-$B78)*('Rhaniad y Ddeiliadaeth (Gog)'!D$110/40)))</f>
        <v>58457.564390985019</v>
      </c>
      <c r="F78" s="57">
        <f>E78*(1+'Rhaniad y Ddeiliadaeth (Gog)'!E$109)+(E$44*(-(50-$B78)*('Rhaniad y Ddeiliadaeth (Gog)'!E$110/40)))</f>
        <v>60605.020705780589</v>
      </c>
      <c r="G78" s="57">
        <f>F78*(1+'Rhaniad y Ddeiliadaeth (Gog)'!F$109)+(F$44*(-(50-$B78)*('Rhaniad y Ddeiliadaeth (Gog)'!F$110/40)))</f>
        <v>63090.02222196239</v>
      </c>
      <c r="H78" s="58">
        <f>G78*(1+'Rhaniad y Ddeiliadaeth (Gog)'!G$109)+(G$44*(-(50-$B78)*('Rhaniad y Ddeiliadaeth (Gog)'!G$110/40)))</f>
        <v>65737.586025470053</v>
      </c>
      <c r="L78" s="62" t="str">
        <f t="shared" si="4"/>
        <v/>
      </c>
      <c r="M78" s="227"/>
      <c r="N78" s="36">
        <f t="shared" si="7"/>
        <v>1</v>
      </c>
      <c r="T78" s="1">
        <f t="shared" si="5"/>
        <v>84</v>
      </c>
      <c r="U78" s="4" t="str">
        <f t="shared" si="6"/>
        <v/>
      </c>
      <c r="V78" s="4" t="e">
        <f>IF($V$3=$M$3,M78,U78*(1+'Rhaniad y Ddeiliadaeth (Gog)'!C$109)+(U$44*(-(50-$T78)*('Rhaniad y Ddeiliadaeth (Gog)'!C$110/40))))</f>
        <v>#VALUE!</v>
      </c>
      <c r="W78" s="4" t="e">
        <f>V78*(1+'Rhaniad y Ddeiliadaeth (Gog)'!D$109)+(V$44*(-(50-$T78)*('Rhaniad y Ddeiliadaeth (Gog)'!D$110/40)))</f>
        <v>#VALUE!</v>
      </c>
      <c r="X78" s="4" t="e">
        <f>W78*(1+'Rhaniad y Ddeiliadaeth (Gog)'!E$109)+(W$44*(-(50-$T78)*('Rhaniad y Ddeiliadaeth (Gog)'!E$110/40)))</f>
        <v>#VALUE!</v>
      </c>
      <c r="Y78" s="4" t="e">
        <f>X78*(1+'Rhaniad y Ddeiliadaeth (Gog)'!F$109)+(X$44*(-(50-$T78)*('Rhaniad y Ddeiliadaeth (Gog)'!F$110/40)))</f>
        <v>#VALUE!</v>
      </c>
      <c r="Z78" s="4" t="e">
        <f>Y78*(1+'Rhaniad y Ddeiliadaeth (Gog)'!G$109)+(Y$44*(-(50-$T78)*('Rhaniad y Ddeiliadaeth (Gog)'!G$110/40)))</f>
        <v>#VALUE!</v>
      </c>
      <c r="AB78" s="1">
        <v>84</v>
      </c>
      <c r="AC78" s="4">
        <f>IF('Rhaniad y Ddeiliadaeth (Cymru)'!$D$8="Amcangyfrifon LlC",'Incwm (Gogledd)'!D78,'Incwm (Gogledd)'!V78)</f>
        <v>56773.733859654123</v>
      </c>
      <c r="AD78" s="4">
        <f>IF('Rhaniad y Ddeiliadaeth (Cymru)'!$D$8="Amcangyfrifon LlC",'Incwm (Gogledd)'!E78,'Incwm (Gogledd)'!W78)</f>
        <v>58457.564390985019</v>
      </c>
      <c r="AE78" s="4">
        <f>IF('Rhaniad y Ddeiliadaeth (Cymru)'!$D$8="Amcangyfrifon LlC",'Incwm (Gogledd)'!F78,'Incwm (Gogledd)'!X78)</f>
        <v>60605.020705780589</v>
      </c>
      <c r="AF78" s="4">
        <f>IF('Rhaniad y Ddeiliadaeth (Cymru)'!$D$8="Amcangyfrifon LlC",'Incwm (Gogledd)'!G78,'Incwm (Gogledd)'!Y78)</f>
        <v>63090.02222196239</v>
      </c>
      <c r="AG78" s="4">
        <f>IF('Rhaniad y Ddeiliadaeth (Cymru)'!$D$8="Amcangyfrifon LlC",'Incwm (Gogledd)'!H78,'Incwm (Gogledd)'!Z78)</f>
        <v>65737.586025470053</v>
      </c>
    </row>
    <row r="79" spans="2:33" x14ac:dyDescent="0.25">
      <c r="B79" s="20">
        <v>85</v>
      </c>
      <c r="C79" s="56">
        <v>56814</v>
      </c>
      <c r="D79" s="57">
        <f>C79*(1+'Rhaniad y Ddeiliadaeth (Gog)'!C$109)+(C$44*(-(50-$B79)*('Rhaniad y Ddeiliadaeth (Gog)'!C$110/40)))</f>
        <v>59046.748231982347</v>
      </c>
      <c r="E79" s="57">
        <f>D79*(1+'Rhaniad y Ddeiliadaeth (Gog)'!D$109)+(D$44*(-(50-$B79)*('Rhaniad y Ddeiliadaeth (Gog)'!D$110/40)))</f>
        <v>60795.612149035784</v>
      </c>
      <c r="F79" s="57">
        <f>E79*(1+'Rhaniad y Ddeiliadaeth (Gog)'!E$109)+(E$44*(-(50-$B79)*('Rhaniad y Ddeiliadaeth (Gog)'!E$110/40)))</f>
        <v>63026.524417175606</v>
      </c>
      <c r="G79" s="57">
        <f>F79*(1+'Rhaniad y Ddeiliadaeth (Gog)'!F$109)+(F$44*(-(50-$B79)*('Rhaniad y Ddeiliadaeth (Gog)'!F$110/40)))</f>
        <v>65608.312188086944</v>
      </c>
      <c r="H79" s="58">
        <f>G79*(1+'Rhaniad y Ddeiliadaeth (Gog)'!G$109)+(G$44*(-(50-$B79)*('Rhaniad y Ddeiliadaeth (Gog)'!G$110/40)))</f>
        <v>68358.969391454928</v>
      </c>
      <c r="L79" s="62" t="str">
        <f t="shared" si="4"/>
        <v/>
      </c>
      <c r="M79" s="227"/>
      <c r="N79" s="36">
        <f t="shared" si="7"/>
        <v>1</v>
      </c>
      <c r="T79" s="1">
        <f t="shared" si="5"/>
        <v>85</v>
      </c>
      <c r="U79" s="4" t="str">
        <f t="shared" si="6"/>
        <v/>
      </c>
      <c r="V79" s="4" t="e">
        <f>IF($V$3=$M$3,M79,U79*(1+'Rhaniad y Ddeiliadaeth (Gog)'!C$109)+(U$44*(-(50-$T79)*('Rhaniad y Ddeiliadaeth (Gog)'!C$110/40))))</f>
        <v>#VALUE!</v>
      </c>
      <c r="W79" s="4" t="e">
        <f>V79*(1+'Rhaniad y Ddeiliadaeth (Gog)'!D$109)+(V$44*(-(50-$T79)*('Rhaniad y Ddeiliadaeth (Gog)'!D$110/40)))</f>
        <v>#VALUE!</v>
      </c>
      <c r="X79" s="4" t="e">
        <f>W79*(1+'Rhaniad y Ddeiliadaeth (Gog)'!E$109)+(W$44*(-(50-$T79)*('Rhaniad y Ddeiliadaeth (Gog)'!E$110/40)))</f>
        <v>#VALUE!</v>
      </c>
      <c r="Y79" s="4" t="e">
        <f>X79*(1+'Rhaniad y Ddeiliadaeth (Gog)'!F$109)+(X$44*(-(50-$T79)*('Rhaniad y Ddeiliadaeth (Gog)'!F$110/40)))</f>
        <v>#VALUE!</v>
      </c>
      <c r="Z79" s="4" t="e">
        <f>Y79*(1+'Rhaniad y Ddeiliadaeth (Gog)'!G$109)+(Y$44*(-(50-$T79)*('Rhaniad y Ddeiliadaeth (Gog)'!G$110/40)))</f>
        <v>#VALUE!</v>
      </c>
      <c r="AB79" s="1">
        <v>85</v>
      </c>
      <c r="AC79" s="4">
        <f>IF('Rhaniad y Ddeiliadaeth (Cymru)'!$D$8="Amcangyfrifon LlC",'Incwm (Gogledd)'!D79,'Incwm (Gogledd)'!V79)</f>
        <v>59046.748231982347</v>
      </c>
      <c r="AD79" s="4">
        <f>IF('Rhaniad y Ddeiliadaeth (Cymru)'!$D$8="Amcangyfrifon LlC",'Incwm (Gogledd)'!E79,'Incwm (Gogledd)'!W79)</f>
        <v>60795.612149035784</v>
      </c>
      <c r="AE79" s="4">
        <f>IF('Rhaniad y Ddeiliadaeth (Cymru)'!$D$8="Amcangyfrifon LlC",'Incwm (Gogledd)'!F79,'Incwm (Gogledd)'!X79)</f>
        <v>63026.524417175606</v>
      </c>
      <c r="AF79" s="4">
        <f>IF('Rhaniad y Ddeiliadaeth (Cymru)'!$D$8="Amcangyfrifon LlC",'Incwm (Gogledd)'!G79,'Incwm (Gogledd)'!Y79)</f>
        <v>65608.312188086944</v>
      </c>
      <c r="AG79" s="4">
        <f>IF('Rhaniad y Ddeiliadaeth (Cymru)'!$D$8="Amcangyfrifon LlC",'Incwm (Gogledd)'!H79,'Incwm (Gogledd)'!Z79)</f>
        <v>68358.969391454928</v>
      </c>
    </row>
    <row r="80" spans="2:33" x14ac:dyDescent="0.25">
      <c r="B80" s="20">
        <v>86</v>
      </c>
      <c r="C80" s="56">
        <v>58237.5</v>
      </c>
      <c r="D80" s="57">
        <f>C80*(1+'Rhaniad y Ddeiliadaeth (Gog)'!C$109)+(C$44*(-(50-$B80)*('Rhaniad y Ddeiliadaeth (Gog)'!C$110/40)))</f>
        <v>60526.974157724268</v>
      </c>
      <c r="E80" s="57">
        <f>D80*(1+'Rhaniad y Ddeiliadaeth (Gog)'!D$109)+(D$44*(-(50-$B80)*('Rhaniad y Ddeiliadaeth (Gog)'!D$110/40)))</f>
        <v>62320.487922566921</v>
      </c>
      <c r="F80" s="57">
        <f>E80*(1+'Rhaniad y Ddeiliadaeth (Gog)'!E$109)+(E$44*(-(50-$B80)*('Rhaniad y Ddeiliadaeth (Gog)'!E$110/40)))</f>
        <v>64608.181654050255</v>
      </c>
      <c r="G80" s="57">
        <f>F80*(1+'Rhaniad y Ddeiliadaeth (Gog)'!F$109)+(F$44*(-(50-$B80)*('Rhaniad y Ddeiliadaeth (Gog)'!F$110/40)))</f>
        <v>67255.609257163</v>
      </c>
      <c r="H80" s="58">
        <f>G80*(1+'Rhaniad y Ddeiliadaeth (Gog)'!G$109)+(G$44*(-(50-$B80)*('Rhaniad y Ddeiliadaeth (Gog)'!G$110/40)))</f>
        <v>70076.207934455437</v>
      </c>
      <c r="L80" s="62" t="str">
        <f t="shared" si="4"/>
        <v/>
      </c>
      <c r="M80" s="227"/>
      <c r="N80" s="36">
        <f t="shared" si="7"/>
        <v>1</v>
      </c>
      <c r="T80" s="1">
        <f t="shared" si="5"/>
        <v>86</v>
      </c>
      <c r="U80" s="4" t="str">
        <f t="shared" si="6"/>
        <v/>
      </c>
      <c r="V80" s="4" t="e">
        <f>IF($V$3=$M$3,M80,U80*(1+'Rhaniad y Ddeiliadaeth (Gog)'!C$109)+(U$44*(-(50-$T80)*('Rhaniad y Ddeiliadaeth (Gog)'!C$110/40))))</f>
        <v>#VALUE!</v>
      </c>
      <c r="W80" s="4" t="e">
        <f>V80*(1+'Rhaniad y Ddeiliadaeth (Gog)'!D$109)+(V$44*(-(50-$T80)*('Rhaniad y Ddeiliadaeth (Gog)'!D$110/40)))</f>
        <v>#VALUE!</v>
      </c>
      <c r="X80" s="4" t="e">
        <f>W80*(1+'Rhaniad y Ddeiliadaeth (Gog)'!E$109)+(W$44*(-(50-$T80)*('Rhaniad y Ddeiliadaeth (Gog)'!E$110/40)))</f>
        <v>#VALUE!</v>
      </c>
      <c r="Y80" s="4" t="e">
        <f>X80*(1+'Rhaniad y Ddeiliadaeth (Gog)'!F$109)+(X$44*(-(50-$T80)*('Rhaniad y Ddeiliadaeth (Gog)'!F$110/40)))</f>
        <v>#VALUE!</v>
      </c>
      <c r="Z80" s="4" t="e">
        <f>Y80*(1+'Rhaniad y Ddeiliadaeth (Gog)'!G$109)+(Y$44*(-(50-$T80)*('Rhaniad y Ddeiliadaeth (Gog)'!G$110/40)))</f>
        <v>#VALUE!</v>
      </c>
      <c r="AB80" s="1">
        <v>86</v>
      </c>
      <c r="AC80" s="4">
        <f>IF('Rhaniad y Ddeiliadaeth (Cymru)'!$D$8="Amcangyfrifon LlC",'Incwm (Gogledd)'!D80,'Incwm (Gogledd)'!V80)</f>
        <v>60526.974157724268</v>
      </c>
      <c r="AD80" s="4">
        <f>IF('Rhaniad y Ddeiliadaeth (Cymru)'!$D$8="Amcangyfrifon LlC",'Incwm (Gogledd)'!E80,'Incwm (Gogledd)'!W80)</f>
        <v>62320.487922566921</v>
      </c>
      <c r="AE80" s="4">
        <f>IF('Rhaniad y Ddeiliadaeth (Cymru)'!$D$8="Amcangyfrifon LlC",'Incwm (Gogledd)'!F80,'Incwm (Gogledd)'!X80)</f>
        <v>64608.181654050255</v>
      </c>
      <c r="AF80" s="4">
        <f>IF('Rhaniad y Ddeiliadaeth (Cymru)'!$D$8="Amcangyfrifon LlC",'Incwm (Gogledd)'!G80,'Incwm (Gogledd)'!Y80)</f>
        <v>67255.609257163</v>
      </c>
      <c r="AG80" s="4">
        <f>IF('Rhaniad y Ddeiliadaeth (Cymru)'!$D$8="Amcangyfrifon LlC",'Incwm (Gogledd)'!H80,'Incwm (Gogledd)'!Z80)</f>
        <v>70076.207934455437</v>
      </c>
    </row>
    <row r="81" spans="2:33" x14ac:dyDescent="0.25">
      <c r="B81" s="20">
        <v>87</v>
      </c>
      <c r="C81" s="56">
        <v>59269.75</v>
      </c>
      <c r="D81" s="57">
        <f>C81*(1+'Rhaniad y Ddeiliadaeth (Gog)'!C$109)+(C$44*(-(50-$B81)*('Rhaniad y Ddeiliadaeth (Gog)'!C$110/40)))</f>
        <v>61602.108690326735</v>
      </c>
      <c r="E81" s="57">
        <f>D81*(1+'Rhaniad y Ddeiliadaeth (Gog)'!D$109)+(D$44*(-(50-$B81)*('Rhaniad y Ddeiliadaeth (Gog)'!D$110/40)))</f>
        <v>63429.856919366561</v>
      </c>
      <c r="F81" s="57">
        <f>E81*(1+'Rhaniad y Ddeiliadaeth (Gog)'!E$109)+(E$44*(-(50-$B81)*('Rhaniad y Ddeiliadaeth (Gog)'!E$110/40)))</f>
        <v>65760.702240596976</v>
      </c>
      <c r="G81" s="57">
        <f>F81*(1+'Rhaniad y Ddeiliadaeth (Gog)'!F$109)+(F$44*(-(50-$B81)*('Rhaniad y Ddeiliadaeth (Gog)'!F$110/40)))</f>
        <v>68457.854777368411</v>
      </c>
      <c r="H81" s="58">
        <f>G81*(1+'Rhaniad y Ddeiliadaeth (Gog)'!G$109)+(G$44*(-(50-$B81)*('Rhaniad y Ddeiliadaeth (Gog)'!G$110/40)))</f>
        <v>71331.455277256551</v>
      </c>
      <c r="L81" s="62" t="str">
        <f t="shared" si="4"/>
        <v/>
      </c>
      <c r="M81" s="227"/>
      <c r="N81" s="36">
        <f t="shared" si="7"/>
        <v>1</v>
      </c>
      <c r="T81" s="1">
        <f t="shared" si="5"/>
        <v>87</v>
      </c>
      <c r="U81" s="4" t="str">
        <f t="shared" si="6"/>
        <v/>
      </c>
      <c r="V81" s="4" t="e">
        <f>IF($V$3=$M$3,M81,U81*(1+'Rhaniad y Ddeiliadaeth (Gog)'!C$109)+(U$44*(-(50-$T81)*('Rhaniad y Ddeiliadaeth (Gog)'!C$110/40))))</f>
        <v>#VALUE!</v>
      </c>
      <c r="W81" s="4" t="e">
        <f>V81*(1+'Rhaniad y Ddeiliadaeth (Gog)'!D$109)+(V$44*(-(50-$T81)*('Rhaniad y Ddeiliadaeth (Gog)'!D$110/40)))</f>
        <v>#VALUE!</v>
      </c>
      <c r="X81" s="4" t="e">
        <f>W81*(1+'Rhaniad y Ddeiliadaeth (Gog)'!E$109)+(W$44*(-(50-$T81)*('Rhaniad y Ddeiliadaeth (Gog)'!E$110/40)))</f>
        <v>#VALUE!</v>
      </c>
      <c r="Y81" s="4" t="e">
        <f>X81*(1+'Rhaniad y Ddeiliadaeth (Gog)'!F$109)+(X$44*(-(50-$T81)*('Rhaniad y Ddeiliadaeth (Gog)'!F$110/40)))</f>
        <v>#VALUE!</v>
      </c>
      <c r="Z81" s="4" t="e">
        <f>Y81*(1+'Rhaniad y Ddeiliadaeth (Gog)'!G$109)+(Y$44*(-(50-$T81)*('Rhaniad y Ddeiliadaeth (Gog)'!G$110/40)))</f>
        <v>#VALUE!</v>
      </c>
      <c r="AB81" s="1">
        <v>87</v>
      </c>
      <c r="AC81" s="4">
        <f>IF('Rhaniad y Ddeiliadaeth (Cymru)'!$D$8="Amcangyfrifon LlC",'Incwm (Gogledd)'!D81,'Incwm (Gogledd)'!V81)</f>
        <v>61602.108690326735</v>
      </c>
      <c r="AD81" s="4">
        <f>IF('Rhaniad y Ddeiliadaeth (Cymru)'!$D$8="Amcangyfrifon LlC",'Incwm (Gogledd)'!E81,'Incwm (Gogledd)'!W81)</f>
        <v>63429.856919366561</v>
      </c>
      <c r="AE81" s="4">
        <f>IF('Rhaniad y Ddeiliadaeth (Cymru)'!$D$8="Amcangyfrifon LlC",'Incwm (Gogledd)'!F81,'Incwm (Gogledd)'!X81)</f>
        <v>65760.702240596976</v>
      </c>
      <c r="AF81" s="4">
        <f>IF('Rhaniad y Ddeiliadaeth (Cymru)'!$D$8="Amcangyfrifon LlC",'Incwm (Gogledd)'!G81,'Incwm (Gogledd)'!Y81)</f>
        <v>68457.854777368411</v>
      </c>
      <c r="AG81" s="4">
        <f>IF('Rhaniad y Ddeiliadaeth (Cymru)'!$D$8="Amcangyfrifon LlC",'Incwm (Gogledd)'!H81,'Incwm (Gogledd)'!Z81)</f>
        <v>71331.455277256551</v>
      </c>
    </row>
    <row r="82" spans="2:33" x14ac:dyDescent="0.25">
      <c r="B82" s="20">
        <v>88</v>
      </c>
      <c r="C82" s="56">
        <v>60867.65</v>
      </c>
      <c r="D82" s="57">
        <f>C82*(1+'Rhaniad y Ddeiliadaeth (Gog)'!C$109)+(C$44*(-(50-$B82)*('Rhaniad y Ddeiliadaeth (Gog)'!C$110/40)))</f>
        <v>63262.90442811601</v>
      </c>
      <c r="E82" s="57">
        <f>D82*(1+'Rhaniad y Ddeiliadaeth (Gog)'!D$109)+(D$44*(-(50-$B82)*('Rhaniad y Ddeiliadaeth (Gog)'!D$110/40)))</f>
        <v>65139.945170500185</v>
      </c>
      <c r="F82" s="57">
        <f>E82*(1+'Rhaniad y Ddeiliadaeth (Gog)'!E$109)+(E$44*(-(50-$B82)*('Rhaniad y Ddeiliadaeth (Gog)'!E$110/40)))</f>
        <v>67533.647482116197</v>
      </c>
      <c r="G82" s="57">
        <f>F82*(1+'Rhaniad y Ddeiliadaeth (Gog)'!F$109)+(F$44*(-(50-$B82)*('Rhaniad y Ddeiliadaeth (Gog)'!F$110/40)))</f>
        <v>70303.533929826008</v>
      </c>
      <c r="H82" s="58">
        <f>G82*(1+'Rhaniad y Ddeiliadaeth (Gog)'!G$109)+(G$44*(-(50-$B82)*('Rhaniad y Ddeiliadaeth (Gog)'!G$110/40)))</f>
        <v>73254.626766748435</v>
      </c>
      <c r="L82" s="62" t="str">
        <f t="shared" si="4"/>
        <v/>
      </c>
      <c r="M82" s="227"/>
      <c r="N82" s="36">
        <f t="shared" si="7"/>
        <v>1</v>
      </c>
      <c r="T82" s="1">
        <f t="shared" si="5"/>
        <v>88</v>
      </c>
      <c r="U82" s="4" t="str">
        <f t="shared" si="6"/>
        <v/>
      </c>
      <c r="V82" s="4" t="e">
        <f>IF($V$3=$M$3,M82,U82*(1+'Rhaniad y Ddeiliadaeth (Gog)'!C$109)+(U$44*(-(50-$T82)*('Rhaniad y Ddeiliadaeth (Gog)'!C$110/40))))</f>
        <v>#VALUE!</v>
      </c>
      <c r="W82" s="4" t="e">
        <f>V82*(1+'Rhaniad y Ddeiliadaeth (Gog)'!D$109)+(V$44*(-(50-$T82)*('Rhaniad y Ddeiliadaeth (Gog)'!D$110/40)))</f>
        <v>#VALUE!</v>
      </c>
      <c r="X82" s="4" t="e">
        <f>W82*(1+'Rhaniad y Ddeiliadaeth (Gog)'!E$109)+(W$44*(-(50-$T82)*('Rhaniad y Ddeiliadaeth (Gog)'!E$110/40)))</f>
        <v>#VALUE!</v>
      </c>
      <c r="Y82" s="4" t="e">
        <f>X82*(1+'Rhaniad y Ddeiliadaeth (Gog)'!F$109)+(X$44*(-(50-$T82)*('Rhaniad y Ddeiliadaeth (Gog)'!F$110/40)))</f>
        <v>#VALUE!</v>
      </c>
      <c r="Z82" s="4" t="e">
        <f>Y82*(1+'Rhaniad y Ddeiliadaeth (Gog)'!G$109)+(Y$44*(-(50-$T82)*('Rhaniad y Ddeiliadaeth (Gog)'!G$110/40)))</f>
        <v>#VALUE!</v>
      </c>
      <c r="AB82" s="1">
        <v>88</v>
      </c>
      <c r="AC82" s="4">
        <f>IF('Rhaniad y Ddeiliadaeth (Cymru)'!$D$8="Amcangyfrifon LlC",'Incwm (Gogledd)'!D82,'Incwm (Gogledd)'!V82)</f>
        <v>63262.90442811601</v>
      </c>
      <c r="AD82" s="4">
        <f>IF('Rhaniad y Ddeiliadaeth (Cymru)'!$D$8="Amcangyfrifon LlC",'Incwm (Gogledd)'!E82,'Incwm (Gogledd)'!W82)</f>
        <v>65139.945170500185</v>
      </c>
      <c r="AE82" s="4">
        <f>IF('Rhaniad y Ddeiliadaeth (Cymru)'!$D$8="Amcangyfrifon LlC",'Incwm (Gogledd)'!F82,'Incwm (Gogledd)'!X82)</f>
        <v>67533.647482116197</v>
      </c>
      <c r="AF82" s="4">
        <f>IF('Rhaniad y Ddeiliadaeth (Cymru)'!$D$8="Amcangyfrifon LlC",'Incwm (Gogledd)'!G82,'Incwm (Gogledd)'!Y82)</f>
        <v>70303.533929826008</v>
      </c>
      <c r="AG82" s="4">
        <f>IF('Rhaniad y Ddeiliadaeth (Cymru)'!$D$8="Amcangyfrifon LlC",'Incwm (Gogledd)'!H82,'Incwm (Gogledd)'!Z82)</f>
        <v>73254.626766748435</v>
      </c>
    </row>
    <row r="83" spans="2:33" x14ac:dyDescent="0.25">
      <c r="B83" s="20">
        <v>89</v>
      </c>
      <c r="C83" s="56">
        <v>63632.5</v>
      </c>
      <c r="D83" s="57">
        <f>C83*(1+'Rhaniad y Ddeiliadaeth (Gog)'!C$109)+(C$44*(-(50-$B83)*('Rhaniad y Ddeiliadaeth (Gog)'!C$110/40)))</f>
        <v>66131.933779257612</v>
      </c>
      <c r="E83" s="57">
        <f>D83*(1+'Rhaniad y Ddeiliadaeth (Gog)'!D$109)+(D$44*(-(50-$B83)*('Rhaniad y Ddeiliadaeth (Gog)'!D$110/40)))</f>
        <v>68089.332164398846</v>
      </c>
      <c r="F83" s="57">
        <f>E83*(1+'Rhaniad y Ddeiliadaeth (Gog)'!E$109)+(E$44*(-(50-$B83)*('Rhaniad y Ddeiliadaeth (Gog)'!E$110/40)))</f>
        <v>70586.544197373922</v>
      </c>
      <c r="G83" s="57">
        <f>F83*(1+'Rhaniad y Ddeiliadaeth (Gog)'!F$109)+(F$44*(-(50-$B83)*('Rhaniad y Ddeiliadaeth (Gog)'!F$110/40)))</f>
        <v>73476.632647662744</v>
      </c>
      <c r="H83" s="58">
        <f>G83*(1+'Rhaniad y Ddeiliadaeth (Gog)'!G$109)+(G$44*(-(50-$B83)*('Rhaniad y Ddeiliadaeth (Gog)'!G$110/40)))</f>
        <v>76555.742361218392</v>
      </c>
      <c r="L83" s="62" t="str">
        <f t="shared" si="4"/>
        <v/>
      </c>
      <c r="M83" s="227"/>
      <c r="N83" s="36">
        <f t="shared" si="7"/>
        <v>1</v>
      </c>
      <c r="T83" s="1">
        <f t="shared" si="5"/>
        <v>89</v>
      </c>
      <c r="U83" s="4" t="str">
        <f t="shared" si="6"/>
        <v/>
      </c>
      <c r="V83" s="4" t="e">
        <f>IF($V$3=$M$3,M83,U83*(1+'Rhaniad y Ddeiliadaeth (Gog)'!C$109)+(U$44*(-(50-$T83)*('Rhaniad y Ddeiliadaeth (Gog)'!C$110/40))))</f>
        <v>#VALUE!</v>
      </c>
      <c r="W83" s="4" t="e">
        <f>V83*(1+'Rhaniad y Ddeiliadaeth (Gog)'!D$109)+(V$44*(-(50-$T83)*('Rhaniad y Ddeiliadaeth (Gog)'!D$110/40)))</f>
        <v>#VALUE!</v>
      </c>
      <c r="X83" s="4" t="e">
        <f>W83*(1+'Rhaniad y Ddeiliadaeth (Gog)'!E$109)+(W$44*(-(50-$T83)*('Rhaniad y Ddeiliadaeth (Gog)'!E$110/40)))</f>
        <v>#VALUE!</v>
      </c>
      <c r="Y83" s="4" t="e">
        <f>X83*(1+'Rhaniad y Ddeiliadaeth (Gog)'!F$109)+(X$44*(-(50-$T83)*('Rhaniad y Ddeiliadaeth (Gog)'!F$110/40)))</f>
        <v>#VALUE!</v>
      </c>
      <c r="Z83" s="4" t="e">
        <f>Y83*(1+'Rhaniad y Ddeiliadaeth (Gog)'!G$109)+(Y$44*(-(50-$T83)*('Rhaniad y Ddeiliadaeth (Gog)'!G$110/40)))</f>
        <v>#VALUE!</v>
      </c>
      <c r="AB83" s="1">
        <v>89</v>
      </c>
      <c r="AC83" s="4">
        <f>IF('Rhaniad y Ddeiliadaeth (Cymru)'!$D$8="Amcangyfrifon LlC",'Incwm (Gogledd)'!D83,'Incwm (Gogledd)'!V83)</f>
        <v>66131.933779257612</v>
      </c>
      <c r="AD83" s="4">
        <f>IF('Rhaniad y Ddeiliadaeth (Cymru)'!$D$8="Amcangyfrifon LlC",'Incwm (Gogledd)'!E83,'Incwm (Gogledd)'!W83)</f>
        <v>68089.332164398846</v>
      </c>
      <c r="AE83" s="4">
        <f>IF('Rhaniad y Ddeiliadaeth (Cymru)'!$D$8="Amcangyfrifon LlC",'Incwm (Gogledd)'!F83,'Incwm (Gogledd)'!X83)</f>
        <v>70586.544197373922</v>
      </c>
      <c r="AF83" s="4">
        <f>IF('Rhaniad y Ddeiliadaeth (Cymru)'!$D$8="Amcangyfrifon LlC",'Incwm (Gogledd)'!G83,'Incwm (Gogledd)'!Y83)</f>
        <v>73476.632647662744</v>
      </c>
      <c r="AG83" s="4">
        <f>IF('Rhaniad y Ddeiliadaeth (Cymru)'!$D$8="Amcangyfrifon LlC",'Incwm (Gogledd)'!H83,'Incwm (Gogledd)'!Z83)</f>
        <v>76555.742361218392</v>
      </c>
    </row>
    <row r="84" spans="2:33" x14ac:dyDescent="0.25">
      <c r="B84" s="23">
        <v>90</v>
      </c>
      <c r="C84" s="59">
        <v>65350.6</v>
      </c>
      <c r="D84" s="60">
        <f>C84*(1+'Rhaniad y Ddeiliadaeth (Gog)'!C$109)+(C$44*(-(50-$B84)*('Rhaniad y Ddeiliadaeth (Gog)'!C$110/40)))</f>
        <v>67917.181876038216</v>
      </c>
      <c r="E84" s="60">
        <f>D84*(1+'Rhaniad y Ddeiliadaeth (Gog)'!D$109)+(D$44*(-(50-$B84)*('Rhaniad y Ddeiliadaeth (Gog)'!D$110/40)))</f>
        <v>69927.072593329591</v>
      </c>
      <c r="F84" s="60">
        <f>E84*(1+'Rhaniad y Ddeiliadaeth (Gog)'!E$109)+(E$44*(-(50-$B84)*('Rhaniad y Ddeiliadaeth (Gog)'!E$110/40)))</f>
        <v>72491.328992552983</v>
      </c>
      <c r="G84" s="60">
        <f>F84*(1+'Rhaniad y Ddeiliadaeth (Gog)'!F$109)+(F$44*(-(50-$B84)*('Rhaniad y Ddeiliadaeth (Gog)'!F$110/40)))</f>
        <v>75459.040736028954</v>
      </c>
      <c r="H84" s="61">
        <f>G84*(1+'Rhaniad y Ddeiliadaeth (Gog)'!G$109)+(G$44*(-(50-$B84)*('Rhaniad y Ddeiliadaeth (Gog)'!G$110/40)))</f>
        <v>78620.846993876956</v>
      </c>
      <c r="L84" s="63" t="str">
        <f t="shared" si="4"/>
        <v/>
      </c>
      <c r="M84" s="229"/>
      <c r="N84" s="36">
        <f t="shared" si="7"/>
        <v>1</v>
      </c>
      <c r="T84" s="1">
        <f t="shared" si="5"/>
        <v>90</v>
      </c>
      <c r="U84" s="4" t="str">
        <f t="shared" si="6"/>
        <v/>
      </c>
      <c r="V84" s="4" t="e">
        <f>IF($V$3=$M$3,M84,U84*(1+'Rhaniad y Ddeiliadaeth (Gog)'!C$109)+(U$44*(-(50-$T84)*('Rhaniad y Ddeiliadaeth (Gog)'!C$110/40))))</f>
        <v>#VALUE!</v>
      </c>
      <c r="W84" s="4" t="e">
        <f>V84*(1+'Rhaniad y Ddeiliadaeth (Gog)'!D$109)+(V$44*(-(50-$T84)*('Rhaniad y Ddeiliadaeth (Gog)'!D$110/40)))</f>
        <v>#VALUE!</v>
      </c>
      <c r="X84" s="4" t="e">
        <f>W84*(1+'Rhaniad y Ddeiliadaeth (Gog)'!E$109)+(W$44*(-(50-$T84)*('Rhaniad y Ddeiliadaeth (Gog)'!E$110/40)))</f>
        <v>#VALUE!</v>
      </c>
      <c r="Y84" s="4" t="e">
        <f>X84*(1+'Rhaniad y Ddeiliadaeth (Gog)'!F$109)+(X$44*(-(50-$T84)*('Rhaniad y Ddeiliadaeth (Gog)'!F$110/40)))</f>
        <v>#VALUE!</v>
      </c>
      <c r="Z84" s="4" t="e">
        <f>Y84*(1+'Rhaniad y Ddeiliadaeth (Gog)'!G$109)+(Y$44*(-(50-$T84)*('Rhaniad y Ddeiliadaeth (Gog)'!G$110/40)))</f>
        <v>#VALUE!</v>
      </c>
      <c r="AB84" s="1">
        <v>90</v>
      </c>
      <c r="AC84" s="4">
        <f>IF('Rhaniad y Ddeiliadaeth (Cymru)'!$D$8="Amcangyfrifon LlC",'Incwm (Gogledd)'!D84,'Incwm (Gogledd)'!V84)</f>
        <v>67917.181876038216</v>
      </c>
      <c r="AD84" s="4">
        <f>IF('Rhaniad y Ddeiliadaeth (Cymru)'!$D$8="Amcangyfrifon LlC",'Incwm (Gogledd)'!E84,'Incwm (Gogledd)'!W84)</f>
        <v>69927.072593329591</v>
      </c>
      <c r="AE84" s="4">
        <f>IF('Rhaniad y Ddeiliadaeth (Cymru)'!$D$8="Amcangyfrifon LlC",'Incwm (Gogledd)'!F84,'Incwm (Gogledd)'!X84)</f>
        <v>72491.328992552983</v>
      </c>
      <c r="AF84" s="4">
        <f>IF('Rhaniad y Ddeiliadaeth (Cymru)'!$D$8="Amcangyfrifon LlC",'Incwm (Gogledd)'!G84,'Incwm (Gogledd)'!Y84)</f>
        <v>75459.040736028954</v>
      </c>
      <c r="AG84" s="4">
        <f>IF('Rhaniad y Ddeiliadaeth (Cymru)'!$D$8="Amcangyfrifon LlC",'Incwm (Gogledd)'!H84,'Incwm (Gogledd)'!Z84)</f>
        <v>78620.846993876956</v>
      </c>
    </row>
    <row r="85" spans="2:33" x14ac:dyDescent="0.25">
      <c r="N85" s="36">
        <f>IF(SUM(N4:N84)&gt;0,1,0)</f>
        <v>1</v>
      </c>
    </row>
  </sheetData>
  <sheetProtection sheet="1" objects="1" scenarios="1"/>
  <mergeCells count="3">
    <mergeCell ref="B2:H2"/>
    <mergeCell ref="J2:M2"/>
    <mergeCell ref="J9:J10"/>
  </mergeCells>
  <dataValidations count="2">
    <dataValidation type="list" allowBlank="1" showInputMessage="1" showErrorMessage="1" sqref="K4">
      <formula1>"2017,2018"</formula1>
    </dataValidation>
    <dataValidation type="decimal" operator="greaterThan" allowBlank="1" showInputMessage="1" showErrorMessage="1" sqref="M4:M84">
      <formula1>0</formula1>
    </dataValidation>
  </dataValidations>
  <pageMargins left="0.7" right="0.7" top="0.75" bottom="0.75" header="0.3" footer="0.3"/>
  <pageSetup paperSize="9" scale="42" orientation="portrait" horizontalDpi="300" verticalDpi="300"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AG85"/>
  <sheetViews>
    <sheetView showGridLines="0" workbookViewId="0"/>
  </sheetViews>
  <sheetFormatPr defaultColWidth="9.140625" defaultRowHeight="15" x14ac:dyDescent="0.25"/>
  <cols>
    <col min="1" max="1" width="2.140625" style="1" customWidth="1"/>
    <col min="2" max="2" width="10.140625" style="1" bestFit="1" customWidth="1"/>
    <col min="3" max="3" width="9.140625" style="1"/>
    <col min="4" max="8" width="10.140625" style="1" bestFit="1" customWidth="1"/>
    <col min="9" max="9" width="9.140625" style="1"/>
    <col min="10" max="10" width="66.42578125" style="1" customWidth="1"/>
    <col min="11" max="11" width="9.140625" style="1"/>
    <col min="12" max="12" width="10.140625" style="1" customWidth="1"/>
    <col min="13" max="13" width="9.140625" style="1"/>
    <col min="14" max="14" width="9.140625" style="1" hidden="1" customWidth="1"/>
    <col min="15" max="15" width="9.140625" style="1"/>
    <col min="16" max="16" width="12.28515625" style="1" customWidth="1"/>
    <col min="17" max="17" width="9.140625" style="1"/>
    <col min="18" max="18" width="11" style="1" customWidth="1"/>
    <col min="19" max="19" width="9.140625" style="1"/>
    <col min="20" max="20" width="9.140625" style="1" hidden="1" customWidth="1"/>
    <col min="21" max="26" width="10.140625" style="1" hidden="1" customWidth="1"/>
    <col min="27" max="28" width="9.140625" style="1" customWidth="1"/>
    <col min="29" max="29" width="10.140625" style="1" customWidth="1"/>
    <col min="30" max="33" width="9.140625" style="1" customWidth="1"/>
    <col min="34" max="16384" width="9.140625" style="1"/>
  </cols>
  <sheetData>
    <row r="1" spans="2:33" ht="9.75" customHeight="1" x14ac:dyDescent="0.25"/>
    <row r="2" spans="2:33" ht="35.25" customHeight="1" x14ac:dyDescent="0.25">
      <c r="B2" s="414" t="s">
        <v>149</v>
      </c>
      <c r="C2" s="415"/>
      <c r="D2" s="415"/>
      <c r="E2" s="415"/>
      <c r="F2" s="415"/>
      <c r="G2" s="415"/>
      <c r="H2" s="416"/>
      <c r="J2" s="417" t="s">
        <v>145</v>
      </c>
      <c r="K2" s="418"/>
      <c r="L2" s="418"/>
      <c r="M2" s="419"/>
      <c r="N2" s="65"/>
      <c r="U2" s="1" t="s">
        <v>293</v>
      </c>
      <c r="AB2" s="1" t="s">
        <v>294</v>
      </c>
    </row>
    <row r="3" spans="2:33" x14ac:dyDescent="0.25">
      <c r="B3" s="34" t="s">
        <v>144</v>
      </c>
      <c r="C3" s="35">
        <v>2017</v>
      </c>
      <c r="D3" s="35">
        <v>2018</v>
      </c>
      <c r="E3" s="35">
        <v>2019</v>
      </c>
      <c r="F3" s="35">
        <v>2020</v>
      </c>
      <c r="G3" s="35">
        <v>2021</v>
      </c>
      <c r="H3" s="55">
        <v>2022</v>
      </c>
      <c r="L3" s="34" t="s">
        <v>144</v>
      </c>
      <c r="M3" s="64">
        <f>K4</f>
        <v>0</v>
      </c>
      <c r="N3" s="66" t="s">
        <v>298</v>
      </c>
      <c r="U3" s="1">
        <v>2017</v>
      </c>
      <c r="V3" s="1">
        <v>2018</v>
      </c>
      <c r="W3" s="1">
        <v>2019</v>
      </c>
      <c r="X3" s="1">
        <v>2020</v>
      </c>
      <c r="Y3" s="1">
        <v>2021</v>
      </c>
      <c r="Z3" s="1">
        <v>2022</v>
      </c>
      <c r="AC3" s="1">
        <v>2018</v>
      </c>
      <c r="AD3" s="1">
        <v>2019</v>
      </c>
      <c r="AE3" s="1">
        <v>2020</v>
      </c>
      <c r="AF3" s="1">
        <v>2021</v>
      </c>
      <c r="AG3" s="1">
        <v>2022</v>
      </c>
    </row>
    <row r="4" spans="2:33" x14ac:dyDescent="0.25">
      <c r="B4" s="20">
        <v>10</v>
      </c>
      <c r="C4" s="56">
        <v>11700.3424</v>
      </c>
      <c r="D4" s="57">
        <f>C4*(1+'Rhaniad y Ddeiliadaeth (C&amp;De-o)'!C$109)+(C$44*(-(50-$B4)*('Rhaniad y Ddeiliadaeth (C&amp;De-o)'!C$110/40)))</f>
        <v>11862.069656293308</v>
      </c>
      <c r="E4" s="57">
        <f>D4*(1+'Rhaniad y Ddeiliadaeth (C&amp;De-o)'!D$109)+(D$44*(-(50-$B4)*('Rhaniad y Ddeiliadaeth (C&amp;De-o)'!D$110/40)))</f>
        <v>11905.935465324417</v>
      </c>
      <c r="F4" s="57">
        <f>E4*(1+'Rhaniad y Ddeiliadaeth (C&amp;De-o)'!E$109)+(E$44*(-(50-$B4)*('Rhaniad y Ddeiliadaeth (C&amp;De-o)'!E$110/40)))</f>
        <v>12028.650070132333</v>
      </c>
      <c r="G4" s="57">
        <f>F4*(1+'Rhaniad y Ddeiliadaeth (C&amp;De-o)'!F$109)+(F$44*(-(50-$B4)*('Rhaniad y Ddeiliadaeth (C&amp;De-o)'!F$110/40)))</f>
        <v>12198.12105413417</v>
      </c>
      <c r="H4" s="58">
        <f>G4*(1+'Rhaniad y Ddeiliadaeth (C&amp;De-o)'!G$109)+(G$44*(-(50-$B4)*('Rhaniad y Ddeiliadaeth (C&amp;De-o)'!G$110/40)))</f>
        <v>12375.528145896107</v>
      </c>
      <c r="I4" s="4"/>
      <c r="J4" s="67" t="str">
        <f>IF('Rhaniad y Ddeiliadaeth (Cymru)'!D8="Arall","Dewiswch data pa flwyddyn hoffech ei ychwanegu:","")</f>
        <v/>
      </c>
      <c r="K4" s="238"/>
      <c r="L4" s="62" t="str">
        <f t="shared" ref="L4:L67" si="0">IF(ISBLANK($K$4),"",B4)</f>
        <v/>
      </c>
      <c r="M4" s="227"/>
      <c r="N4" s="14">
        <f>IF(ISBLANK(M4),1,0)</f>
        <v>1</v>
      </c>
      <c r="O4" s="11" t="str">
        <f>IF(J4="","","&lt;&lt; Ychwanegwch ddata pob canradd fan hyn.")</f>
        <v/>
      </c>
      <c r="T4" s="1">
        <f t="shared" ref="T4:T67" si="1">B4</f>
        <v>10</v>
      </c>
      <c r="U4" s="4" t="str">
        <f t="shared" ref="U4:U67" si="2">IF($M$3=$U$3,M4,"")</f>
        <v/>
      </c>
      <c r="V4" s="4" t="e">
        <f>IF($V$3=$M$3,M4,U4*(1+'Rhaniad y Ddeiliadaeth (C&amp;De-o)'!C$109)+(U$44*(-(50-$T4)*('Rhaniad y Ddeiliadaeth (C&amp;De-o)'!C$110/40))))</f>
        <v>#VALUE!</v>
      </c>
      <c r="W4" s="4" t="e">
        <f>V4*(1+'Rhaniad y Ddeiliadaeth (C&amp;De-o)'!D$109)+(V$44*(-(50-$T4)*('Rhaniad y Ddeiliadaeth (C&amp;De-o)'!D$110/40)))</f>
        <v>#VALUE!</v>
      </c>
      <c r="X4" s="4" t="e">
        <f>W4*(1+'Rhaniad y Ddeiliadaeth (C&amp;De-o)'!E$109)+(W$44*(-(50-$T4)*('Rhaniad y Ddeiliadaeth (C&amp;De-o)'!E$110/40)))</f>
        <v>#VALUE!</v>
      </c>
      <c r="Y4" s="4" t="e">
        <f>X4*(1+'Rhaniad y Ddeiliadaeth (C&amp;De-o)'!F$109)+(X$44*(-(50-$T4)*('Rhaniad y Ddeiliadaeth (C&amp;De-o)'!F$110/40)))</f>
        <v>#VALUE!</v>
      </c>
      <c r="Z4" s="4" t="e">
        <f>Y4*(1+'Rhaniad y Ddeiliadaeth (C&amp;De-o)'!G$109)+(Y$44*(-(50-$T4)*('Rhaniad y Ddeiliadaeth (C&amp;De-o)'!G$110/40)))</f>
        <v>#VALUE!</v>
      </c>
      <c r="AB4" s="1">
        <v>10</v>
      </c>
      <c r="AC4" s="4">
        <f>IF('Rhaniad y Ddeiliadaeth (Cymru)'!$D$8="Amcangyfrifon LlC",'Incwm (Canol. &amp; De-orll)'!D4,'Incwm (Canol. &amp; De-orll)'!V4)</f>
        <v>11862.069656293308</v>
      </c>
      <c r="AD4" s="4">
        <f>IF('Rhaniad y Ddeiliadaeth (Cymru)'!$D$8="Amcangyfrifon LlC",'Incwm (Canol. &amp; De-orll)'!E4,'Incwm (Canol. &amp; De-orll)'!W4)</f>
        <v>11905.935465324417</v>
      </c>
      <c r="AE4" s="4">
        <f>IF('Rhaniad y Ddeiliadaeth (Cymru)'!$D$8="Amcangyfrifon LlC",'Incwm (Canol. &amp; De-orll)'!F4,'Incwm (Canol. &amp; De-orll)'!X4)</f>
        <v>12028.650070132333</v>
      </c>
      <c r="AF4" s="4">
        <f>IF('Rhaniad y Ddeiliadaeth (Cymru)'!$D$8="Amcangyfrifon LlC",'Incwm (Canol. &amp; De-orll)'!G4,'Incwm (Canol. &amp; De-orll)'!Y4)</f>
        <v>12198.12105413417</v>
      </c>
      <c r="AG4" s="4">
        <f>IF('Rhaniad y Ddeiliadaeth (Cymru)'!$D$8="Amcangyfrifon LlC",'Incwm (Canol. &amp; De-orll)'!H4,'Incwm (Canol. &amp; De-orll)'!Z4)</f>
        <v>12375.528145896107</v>
      </c>
    </row>
    <row r="5" spans="2:33" x14ac:dyDescent="0.25">
      <c r="B5" s="20">
        <v>11</v>
      </c>
      <c r="C5" s="56">
        <v>12376</v>
      </c>
      <c r="D5" s="57">
        <f>C5*(1+'Rhaniad y Ddeiliadaeth (C&amp;De-o)'!C$109)+(C$44*(-(50-$B5)*('Rhaniad y Ddeiliadaeth (C&amp;De-o)'!C$110/40)))</f>
        <v>12567.935240240318</v>
      </c>
      <c r="E5" s="57">
        <f>D5*(1+'Rhaniad y Ddeiliadaeth (C&amp;De-o)'!D$109)+(D$44*(-(50-$B5)*('Rhaniad y Ddeiliadaeth (C&amp;De-o)'!D$110/40)))</f>
        <v>12636.477750850057</v>
      </c>
      <c r="F5" s="57">
        <f>E5*(1+'Rhaniad y Ddeiliadaeth (C&amp;De-o)'!E$109)+(E$44*(-(50-$B5)*('Rhaniad y Ddeiliadaeth (C&amp;De-o)'!E$110/40)))</f>
        <v>12789.852241032717</v>
      </c>
      <c r="G5" s="57">
        <f>F5*(1+'Rhaniad y Ddeiliadaeth (C&amp;De-o)'!F$109)+(F$44*(-(50-$B5)*('Rhaniad y Ddeiliadaeth (C&amp;De-o)'!F$110/40)))</f>
        <v>12994.46860048913</v>
      </c>
      <c r="H5" s="58">
        <f>G5*(1+'Rhaniad y Ddeiliadaeth (C&amp;De-o)'!G$109)+(G$44*(-(50-$B5)*('Rhaniad y Ddeiliadaeth (C&amp;De-o)'!G$110/40)))</f>
        <v>13209.358463017563</v>
      </c>
      <c r="J5" s="68" t="str">
        <f>IF(J4="","","Dim ond data ar gyfer un flwyddyn sydd angen i chi ychwanegu (unai 2017 neu 2018)")</f>
        <v/>
      </c>
      <c r="L5" s="62" t="str">
        <f t="shared" si="0"/>
        <v/>
      </c>
      <c r="M5" s="227"/>
      <c r="N5" s="14">
        <f t="shared" ref="N5:N68" si="3">IF(ISBLANK(M5),1,0)</f>
        <v>1</v>
      </c>
      <c r="T5" s="1">
        <f t="shared" si="1"/>
        <v>11</v>
      </c>
      <c r="U5" s="4" t="str">
        <f t="shared" si="2"/>
        <v/>
      </c>
      <c r="V5" s="4" t="e">
        <f>IF($V$3=$M$3,M5,U5*(1+'Rhaniad y Ddeiliadaeth (C&amp;De-o)'!C$109)+(U$44*(-(50-$T5)*('Rhaniad y Ddeiliadaeth (C&amp;De-o)'!C$110/40))))</f>
        <v>#VALUE!</v>
      </c>
      <c r="W5" s="4" t="e">
        <f>V5*(1+'Rhaniad y Ddeiliadaeth (C&amp;De-o)'!D$109)+(V$44*(-(50-$T5)*('Rhaniad y Ddeiliadaeth (C&amp;De-o)'!D$110/40)))</f>
        <v>#VALUE!</v>
      </c>
      <c r="X5" s="4" t="e">
        <f>W5*(1+'Rhaniad y Ddeiliadaeth (C&amp;De-o)'!E$109)+(W$44*(-(50-$T5)*('Rhaniad y Ddeiliadaeth (C&amp;De-o)'!E$110/40)))</f>
        <v>#VALUE!</v>
      </c>
      <c r="Y5" s="4" t="e">
        <f>X5*(1+'Rhaniad y Ddeiliadaeth (C&amp;De-o)'!F$109)+(X$44*(-(50-$T5)*('Rhaniad y Ddeiliadaeth (C&amp;De-o)'!F$110/40)))</f>
        <v>#VALUE!</v>
      </c>
      <c r="Z5" s="4" t="e">
        <f>Y5*(1+'Rhaniad y Ddeiliadaeth (C&amp;De-o)'!G$109)+(Y$44*(-(50-$T5)*('Rhaniad y Ddeiliadaeth (C&amp;De-o)'!G$110/40)))</f>
        <v>#VALUE!</v>
      </c>
      <c r="AB5" s="1">
        <v>11</v>
      </c>
      <c r="AC5" s="4">
        <f>IF('Rhaniad y Ddeiliadaeth (Cymru)'!$D$8="Amcangyfrifon LlC",'Incwm (Canol. &amp; De-orll)'!D5,'Incwm (Canol. &amp; De-orll)'!V5)</f>
        <v>12567.935240240318</v>
      </c>
      <c r="AD5" s="4">
        <f>IF('Rhaniad y Ddeiliadaeth (Cymru)'!$D$8="Amcangyfrifon LlC",'Incwm (Canol. &amp; De-orll)'!E5,'Incwm (Canol. &amp; De-orll)'!W5)</f>
        <v>12636.477750850057</v>
      </c>
      <c r="AE5" s="4">
        <f>IF('Rhaniad y Ddeiliadaeth (Cymru)'!$D$8="Amcangyfrifon LlC",'Incwm (Canol. &amp; De-orll)'!F5,'Incwm (Canol. &amp; De-orll)'!X5)</f>
        <v>12789.852241032717</v>
      </c>
      <c r="AF5" s="4">
        <f>IF('Rhaniad y Ddeiliadaeth (Cymru)'!$D$8="Amcangyfrifon LlC",'Incwm (Canol. &amp; De-orll)'!G5,'Incwm (Canol. &amp; De-orll)'!Y5)</f>
        <v>12994.46860048913</v>
      </c>
      <c r="AG5" s="4">
        <f>IF('Rhaniad y Ddeiliadaeth (Cymru)'!$D$8="Amcangyfrifon LlC",'Incwm (Canol. &amp; De-orll)'!H5,'Incwm (Canol. &amp; De-orll)'!Z5)</f>
        <v>13209.358463017563</v>
      </c>
    </row>
    <row r="6" spans="2:33" x14ac:dyDescent="0.25">
      <c r="B6" s="20">
        <v>12</v>
      </c>
      <c r="C6" s="56">
        <v>12622.25</v>
      </c>
      <c r="D6" s="57">
        <f>C6*(1+'Rhaniad y Ddeiliadaeth (C&amp;De-o)'!C$109)+(C$44*(-(50-$B6)*('Rhaniad y Ddeiliadaeth (C&amp;De-o)'!C$110/40)))</f>
        <v>12829.201915794552</v>
      </c>
      <c r="E6" s="57">
        <f>D6*(1+'Rhaniad y Ddeiliadaeth (C&amp;De-o)'!D$109)+(D$44*(-(50-$B6)*('Rhaniad y Ddeiliadaeth (C&amp;De-o)'!D$110/40)))</f>
        <v>12910.989958982709</v>
      </c>
      <c r="F6" s="57">
        <f>E6*(1+'Rhaniad y Ddeiliadaeth (C&amp;De-o)'!E$109)+(E$44*(-(50-$B6)*('Rhaniad y Ddeiliadaeth (C&amp;De-o)'!E$110/40)))</f>
        <v>13080.065174644014</v>
      </c>
      <c r="G6" s="57">
        <f>F6*(1+'Rhaniad y Ddeiliadaeth (C&amp;De-o)'!F$109)+(F$44*(-(50-$B6)*('Rhaniad y Ddeiliadaeth (C&amp;De-o)'!F$110/40)))</f>
        <v>13302.359872142961</v>
      </c>
      <c r="H6" s="58">
        <f>G6*(1+'Rhaniad y Ddeiliadaeth (C&amp;De-o)'!G$109)+(G$44*(-(50-$B6)*('Rhaniad y Ddeiliadaeth (C&amp;De-o)'!G$110/40)))</f>
        <v>13536.140773752488</v>
      </c>
      <c r="L6" s="62" t="str">
        <f t="shared" si="0"/>
        <v/>
      </c>
      <c r="M6" s="227"/>
      <c r="N6" s="14">
        <f t="shared" si="3"/>
        <v>1</v>
      </c>
      <c r="T6" s="1">
        <f t="shared" si="1"/>
        <v>12</v>
      </c>
      <c r="U6" s="4" t="str">
        <f t="shared" si="2"/>
        <v/>
      </c>
      <c r="V6" s="4" t="e">
        <f>IF($V$3=$M$3,M6,U6*(1+'Rhaniad y Ddeiliadaeth (C&amp;De-o)'!C$109)+(U$44*(-(50-$T6)*('Rhaniad y Ddeiliadaeth (C&amp;De-o)'!C$110/40))))</f>
        <v>#VALUE!</v>
      </c>
      <c r="W6" s="4" t="e">
        <f>V6*(1+'Rhaniad y Ddeiliadaeth (C&amp;De-o)'!D$109)+(V$44*(-(50-$T6)*('Rhaniad y Ddeiliadaeth (C&amp;De-o)'!D$110/40)))</f>
        <v>#VALUE!</v>
      </c>
      <c r="X6" s="4" t="e">
        <f>W6*(1+'Rhaniad y Ddeiliadaeth (C&amp;De-o)'!E$109)+(W$44*(-(50-$T6)*('Rhaniad y Ddeiliadaeth (C&amp;De-o)'!E$110/40)))</f>
        <v>#VALUE!</v>
      </c>
      <c r="Y6" s="4" t="e">
        <f>X6*(1+'Rhaniad y Ddeiliadaeth (C&amp;De-o)'!F$109)+(X$44*(-(50-$T6)*('Rhaniad y Ddeiliadaeth (C&amp;De-o)'!F$110/40)))</f>
        <v>#VALUE!</v>
      </c>
      <c r="Z6" s="4" t="e">
        <f>Y6*(1+'Rhaniad y Ddeiliadaeth (C&amp;De-o)'!G$109)+(Y$44*(-(50-$T6)*('Rhaniad y Ddeiliadaeth (C&amp;De-o)'!G$110/40)))</f>
        <v>#VALUE!</v>
      </c>
      <c r="AB6" s="1">
        <v>12</v>
      </c>
      <c r="AC6" s="4">
        <f>IF('Rhaniad y Ddeiliadaeth (Cymru)'!$D$8="Amcangyfrifon LlC",'Incwm (Canol. &amp; De-orll)'!D6,'Incwm (Canol. &amp; De-orll)'!V6)</f>
        <v>12829.201915794552</v>
      </c>
      <c r="AD6" s="4">
        <f>IF('Rhaniad y Ddeiliadaeth (Cymru)'!$D$8="Amcangyfrifon LlC",'Incwm (Canol. &amp; De-orll)'!E6,'Incwm (Canol. &amp; De-orll)'!W6)</f>
        <v>12910.989958982709</v>
      </c>
      <c r="AE6" s="4">
        <f>IF('Rhaniad y Ddeiliadaeth (Cymru)'!$D$8="Amcangyfrifon LlC",'Incwm (Canol. &amp; De-orll)'!F6,'Incwm (Canol. &amp; De-orll)'!X6)</f>
        <v>13080.065174644014</v>
      </c>
      <c r="AF6" s="4">
        <f>IF('Rhaniad y Ddeiliadaeth (Cymru)'!$D$8="Amcangyfrifon LlC",'Incwm (Canol. &amp; De-orll)'!G6,'Incwm (Canol. &amp; De-orll)'!Y6)</f>
        <v>13302.359872142961</v>
      </c>
      <c r="AG6" s="4">
        <f>IF('Rhaniad y Ddeiliadaeth (Cymru)'!$D$8="Amcangyfrifon LlC",'Incwm (Canol. &amp; De-orll)'!H6,'Incwm (Canol. &amp; De-orll)'!Z6)</f>
        <v>13536.140773752488</v>
      </c>
    </row>
    <row r="7" spans="2:33" x14ac:dyDescent="0.25">
      <c r="B7" s="20">
        <v>13</v>
      </c>
      <c r="C7" s="56">
        <v>12855.782999999999</v>
      </c>
      <c r="D7" s="57">
        <f>C7*(1+'Rhaniad y Ddeiliadaeth (C&amp;De-o)'!C$109)+(C$44*(-(50-$B7)*('Rhaniad y Ddeiliadaeth (C&amp;De-o)'!C$110/40)))</f>
        <v>13077.301697427878</v>
      </c>
      <c r="E7" s="57">
        <f>D7*(1+'Rhaniad y Ddeiliadaeth (C&amp;De-o)'!D$109)+(D$44*(-(50-$B7)*('Rhaniad y Ddeiliadaeth (C&amp;De-o)'!D$110/40)))</f>
        <v>13171.996736624125</v>
      </c>
      <c r="F7" s="57">
        <f>E7*(1+'Rhaniad y Ddeiliadaeth (C&amp;De-o)'!E$109)+(E$44*(-(50-$B7)*('Rhaniad y Ddeiliadaeth (C&amp;De-o)'!E$110/40)))</f>
        <v>13356.329658971679</v>
      </c>
      <c r="G7" s="57">
        <f>F7*(1+'Rhaniad y Ddeiliadaeth (C&amp;De-o)'!F$109)+(F$44*(-(50-$B7)*('Rhaniad y Ddeiliadaeth (C&amp;De-o)'!F$110/40)))</f>
        <v>13595.785404379569</v>
      </c>
      <c r="H7" s="58">
        <f>G7*(1+'Rhaniad y Ddeiliadaeth (C&amp;De-o)'!G$109)+(G$44*(-(50-$B7)*('Rhaniad y Ddeiliadaeth (C&amp;De-o)'!G$110/40)))</f>
        <v>13847.906746869687</v>
      </c>
      <c r="J7" s="11" t="str">
        <f>IF(J4="","",IF(N85=1,"Mewnbwn y defnyddiwr yn anghyflawn",IF(N85=0,"Mewnbwn y defnyddiwr yn gyflawn","")))</f>
        <v/>
      </c>
      <c r="L7" s="62" t="str">
        <f t="shared" si="0"/>
        <v/>
      </c>
      <c r="M7" s="227"/>
      <c r="N7" s="14">
        <f t="shared" si="3"/>
        <v>1</v>
      </c>
      <c r="T7" s="1">
        <f t="shared" si="1"/>
        <v>13</v>
      </c>
      <c r="U7" s="4" t="str">
        <f t="shared" si="2"/>
        <v/>
      </c>
      <c r="V7" s="4" t="e">
        <f>IF($V$3=$M$3,M7,U7*(1+'Rhaniad y Ddeiliadaeth (C&amp;De-o)'!C$109)+(U$44*(-(50-$T7)*('Rhaniad y Ddeiliadaeth (C&amp;De-o)'!C$110/40))))</f>
        <v>#VALUE!</v>
      </c>
      <c r="W7" s="4" t="e">
        <f>V7*(1+'Rhaniad y Ddeiliadaeth (C&amp;De-o)'!D$109)+(V$44*(-(50-$T7)*('Rhaniad y Ddeiliadaeth (C&amp;De-o)'!D$110/40)))</f>
        <v>#VALUE!</v>
      </c>
      <c r="X7" s="4" t="e">
        <f>W7*(1+'Rhaniad y Ddeiliadaeth (C&amp;De-o)'!E$109)+(W$44*(-(50-$T7)*('Rhaniad y Ddeiliadaeth (C&amp;De-o)'!E$110/40)))</f>
        <v>#VALUE!</v>
      </c>
      <c r="Y7" s="4" t="e">
        <f>X7*(1+'Rhaniad y Ddeiliadaeth (C&amp;De-o)'!F$109)+(X$44*(-(50-$T7)*('Rhaniad y Ddeiliadaeth (C&amp;De-o)'!F$110/40)))</f>
        <v>#VALUE!</v>
      </c>
      <c r="Z7" s="4" t="e">
        <f>Y7*(1+'Rhaniad y Ddeiliadaeth (C&amp;De-o)'!G$109)+(Y$44*(-(50-$T7)*('Rhaniad y Ddeiliadaeth (C&amp;De-o)'!G$110/40)))</f>
        <v>#VALUE!</v>
      </c>
      <c r="AB7" s="1">
        <v>13</v>
      </c>
      <c r="AC7" s="4">
        <f>IF('Rhaniad y Ddeiliadaeth (Cymru)'!$D$8="Amcangyfrifon LlC",'Incwm (Canol. &amp; De-orll)'!D7,'Incwm (Canol. &amp; De-orll)'!V7)</f>
        <v>13077.301697427878</v>
      </c>
      <c r="AD7" s="4">
        <f>IF('Rhaniad y Ddeiliadaeth (Cymru)'!$D$8="Amcangyfrifon LlC",'Incwm (Canol. &amp; De-orll)'!E7,'Incwm (Canol. &amp; De-orll)'!W7)</f>
        <v>13171.996736624125</v>
      </c>
      <c r="AE7" s="4">
        <f>IF('Rhaniad y Ddeiliadaeth (Cymru)'!$D$8="Amcangyfrifon LlC",'Incwm (Canol. &amp; De-orll)'!F7,'Incwm (Canol. &amp; De-orll)'!X7)</f>
        <v>13356.329658971679</v>
      </c>
      <c r="AF7" s="4">
        <f>IF('Rhaniad y Ddeiliadaeth (Cymru)'!$D$8="Amcangyfrifon LlC",'Incwm (Canol. &amp; De-orll)'!G7,'Incwm (Canol. &amp; De-orll)'!Y7)</f>
        <v>13595.785404379569</v>
      </c>
      <c r="AG7" s="4">
        <f>IF('Rhaniad y Ddeiliadaeth (Cymru)'!$D$8="Amcangyfrifon LlC",'Incwm (Canol. &amp; De-orll)'!H7,'Incwm (Canol. &amp; De-orll)'!Z7)</f>
        <v>13847.906746869687</v>
      </c>
    </row>
    <row r="8" spans="2:33" x14ac:dyDescent="0.25">
      <c r="B8" s="20">
        <v>14</v>
      </c>
      <c r="C8" s="56">
        <v>12930.6</v>
      </c>
      <c r="D8" s="57">
        <f>C8*(1+'Rhaniad y Ddeiliadaeth (C&amp;De-o)'!C$109)+(C$44*(-(50-$B8)*('Rhaniad y Ddeiliadaeth (C&amp;De-o)'!C$110/40)))</f>
        <v>13161.07052556977</v>
      </c>
      <c r="E8" s="57">
        <f>D8*(1+'Rhaniad y Ddeiliadaeth (C&amp;De-o)'!D$109)+(D$44*(-(50-$B8)*('Rhaniad y Ddeiliadaeth (C&amp;De-o)'!D$110/40)))</f>
        <v>13264.447415669463</v>
      </c>
      <c r="F8" s="57">
        <f>E8*(1+'Rhaniad y Ddeiliadaeth (C&amp;De-o)'!E$109)+(E$44*(-(50-$B8)*('Rhaniad y Ddeiliadaeth (C&amp;De-o)'!E$110/40)))</f>
        <v>13458.508897054109</v>
      </c>
      <c r="G8" s="57">
        <f>F8*(1+'Rhaniad y Ddeiliadaeth (C&amp;De-o)'!F$109)+(F$44*(-(50-$B8)*('Rhaniad y Ddeiliadaeth (C&amp;De-o)'!F$110/40)))</f>
        <v>13708.669590595597</v>
      </c>
      <c r="H8" s="58">
        <f>G8*(1+'Rhaniad y Ddeiliadaeth (C&amp;De-o)'!G$109)+(G$44*(-(50-$B8)*('Rhaniad y Ddeiliadaeth (C&amp;De-o)'!G$110/40)))</f>
        <v>13972.259568981533</v>
      </c>
      <c r="L8" s="62" t="str">
        <f t="shared" si="0"/>
        <v/>
      </c>
      <c r="M8" s="227"/>
      <c r="N8" s="14">
        <f t="shared" si="3"/>
        <v>1</v>
      </c>
      <c r="T8" s="1">
        <f t="shared" si="1"/>
        <v>14</v>
      </c>
      <c r="U8" s="4" t="str">
        <f t="shared" si="2"/>
        <v/>
      </c>
      <c r="V8" s="4" t="e">
        <f>IF($V$3=$M$3,M8,U8*(1+'Rhaniad y Ddeiliadaeth (C&amp;De-o)'!C$109)+(U$44*(-(50-$T8)*('Rhaniad y Ddeiliadaeth (C&amp;De-o)'!C$110/40))))</f>
        <v>#VALUE!</v>
      </c>
      <c r="W8" s="4" t="e">
        <f>V8*(1+'Rhaniad y Ddeiliadaeth (C&amp;De-o)'!D$109)+(V$44*(-(50-$T8)*('Rhaniad y Ddeiliadaeth (C&amp;De-o)'!D$110/40)))</f>
        <v>#VALUE!</v>
      </c>
      <c r="X8" s="4" t="e">
        <f>W8*(1+'Rhaniad y Ddeiliadaeth (C&amp;De-o)'!E$109)+(W$44*(-(50-$T8)*('Rhaniad y Ddeiliadaeth (C&amp;De-o)'!E$110/40)))</f>
        <v>#VALUE!</v>
      </c>
      <c r="Y8" s="4" t="e">
        <f>X8*(1+'Rhaniad y Ddeiliadaeth (C&amp;De-o)'!F$109)+(X$44*(-(50-$T8)*('Rhaniad y Ddeiliadaeth (C&amp;De-o)'!F$110/40)))</f>
        <v>#VALUE!</v>
      </c>
      <c r="Z8" s="4" t="e">
        <f>Y8*(1+'Rhaniad y Ddeiliadaeth (C&amp;De-o)'!G$109)+(Y$44*(-(50-$T8)*('Rhaniad y Ddeiliadaeth (C&amp;De-o)'!G$110/40)))</f>
        <v>#VALUE!</v>
      </c>
      <c r="AB8" s="1">
        <v>14</v>
      </c>
      <c r="AC8" s="4">
        <f>IF('Rhaniad y Ddeiliadaeth (Cymru)'!$D$8="Amcangyfrifon LlC",'Incwm (Canol. &amp; De-orll)'!D8,'Incwm (Canol. &amp; De-orll)'!V8)</f>
        <v>13161.07052556977</v>
      </c>
      <c r="AD8" s="4">
        <f>IF('Rhaniad y Ddeiliadaeth (Cymru)'!$D$8="Amcangyfrifon LlC",'Incwm (Canol. &amp; De-orll)'!E8,'Incwm (Canol. &amp; De-orll)'!W8)</f>
        <v>13264.447415669463</v>
      </c>
      <c r="AE8" s="4">
        <f>IF('Rhaniad y Ddeiliadaeth (Cymru)'!$D$8="Amcangyfrifon LlC",'Incwm (Canol. &amp; De-orll)'!F8,'Incwm (Canol. &amp; De-orll)'!X8)</f>
        <v>13458.508897054109</v>
      </c>
      <c r="AF8" s="4">
        <f>IF('Rhaniad y Ddeiliadaeth (Cymru)'!$D$8="Amcangyfrifon LlC",'Incwm (Canol. &amp; De-orll)'!G8,'Incwm (Canol. &amp; De-orll)'!Y8)</f>
        <v>13708.669590595597</v>
      </c>
      <c r="AG8" s="4">
        <f>IF('Rhaniad y Ddeiliadaeth (Cymru)'!$D$8="Amcangyfrifon LlC",'Incwm (Canol. &amp; De-orll)'!H8,'Incwm (Canol. &amp; De-orll)'!Z8)</f>
        <v>13972.259568981533</v>
      </c>
    </row>
    <row r="9" spans="2:33" x14ac:dyDescent="0.25">
      <c r="B9" s="20">
        <v>15</v>
      </c>
      <c r="C9" s="56">
        <v>13200</v>
      </c>
      <c r="D9" s="57">
        <f>C9*(1+'Rhaniad y Ddeiliadaeth (C&amp;De-o)'!C$109)+(C$44*(-(50-$B9)*('Rhaniad y Ddeiliadaeth (C&amp;De-o)'!C$110/40)))</f>
        <v>13446.306187069507</v>
      </c>
      <c r="E9" s="57">
        <f>D9*(1+'Rhaniad y Ddeiliadaeth (C&amp;De-o)'!D$109)+(D$44*(-(50-$B9)*('Rhaniad y Ddeiliadaeth (C&amp;De-o)'!D$110/40)))</f>
        <v>13563.544881006803</v>
      </c>
      <c r="F9" s="57">
        <f>E9*(1+'Rhaniad y Ddeiliadaeth (C&amp;De-o)'!E$109)+(E$44*(-(50-$B9)*('Rhaniad y Ddeiliadaeth (C&amp;De-o)'!E$110/40)))</f>
        <v>13774.113558346153</v>
      </c>
      <c r="G9" s="57">
        <f>F9*(1+'Rhaniad y Ddeiliadaeth (C&amp;De-o)'!F$109)+(F$44*(-(50-$B9)*('Rhaniad y Ddeiliadaeth (C&amp;De-o)'!F$110/40)))</f>
        <v>14042.894263799217</v>
      </c>
      <c r="H9" s="58">
        <f>G9*(1+'Rhaniad y Ddeiliadaeth (C&amp;De-o)'!G$109)+(G$44*(-(50-$B9)*('Rhaniad y Ddeiliadaeth (C&amp;De-o)'!G$110/40)))</f>
        <v>14326.377589070109</v>
      </c>
      <c r="J9" s="420" t="str">
        <f>IF(J4="","Os hoffech ddefnyddio data eich hunain ar gyfer dosbarthiad incwm, newidwch eich dewislen.","")</f>
        <v>Os hoffech ddefnyddio data eich hunain ar gyfer dosbarthiad incwm, newidwch eich dewislen.</v>
      </c>
      <c r="L9" s="62" t="str">
        <f t="shared" si="0"/>
        <v/>
      </c>
      <c r="M9" s="227"/>
      <c r="N9" s="14">
        <f t="shared" si="3"/>
        <v>1</v>
      </c>
      <c r="T9" s="1">
        <f t="shared" si="1"/>
        <v>15</v>
      </c>
      <c r="U9" s="4" t="str">
        <f t="shared" si="2"/>
        <v/>
      </c>
      <c r="V9" s="4" t="e">
        <f>IF($V$3=$M$3,M9,U9*(1+'Rhaniad y Ddeiliadaeth (C&amp;De-o)'!C$109)+(U$44*(-(50-$T9)*('Rhaniad y Ddeiliadaeth (C&amp;De-o)'!C$110/40))))</f>
        <v>#VALUE!</v>
      </c>
      <c r="W9" s="4" t="e">
        <f>V9*(1+'Rhaniad y Ddeiliadaeth (C&amp;De-o)'!D$109)+(V$44*(-(50-$T9)*('Rhaniad y Ddeiliadaeth (C&amp;De-o)'!D$110/40)))</f>
        <v>#VALUE!</v>
      </c>
      <c r="X9" s="4" t="e">
        <f>W9*(1+'Rhaniad y Ddeiliadaeth (C&amp;De-o)'!E$109)+(W$44*(-(50-$T9)*('Rhaniad y Ddeiliadaeth (C&amp;De-o)'!E$110/40)))</f>
        <v>#VALUE!</v>
      </c>
      <c r="Y9" s="4" t="e">
        <f>X9*(1+'Rhaniad y Ddeiliadaeth (C&amp;De-o)'!F$109)+(X$44*(-(50-$T9)*('Rhaniad y Ddeiliadaeth (C&amp;De-o)'!F$110/40)))</f>
        <v>#VALUE!</v>
      </c>
      <c r="Z9" s="4" t="e">
        <f>Y9*(1+'Rhaniad y Ddeiliadaeth (C&amp;De-o)'!G$109)+(Y$44*(-(50-$T9)*('Rhaniad y Ddeiliadaeth (C&amp;De-o)'!G$110/40)))</f>
        <v>#VALUE!</v>
      </c>
      <c r="AB9" s="1">
        <v>15</v>
      </c>
      <c r="AC9" s="4">
        <f>IF('Rhaniad y Ddeiliadaeth (Cymru)'!$D$8="Amcangyfrifon LlC",'Incwm (Canol. &amp; De-orll)'!D9,'Incwm (Canol. &amp; De-orll)'!V9)</f>
        <v>13446.306187069507</v>
      </c>
      <c r="AD9" s="4">
        <f>IF('Rhaniad y Ddeiliadaeth (Cymru)'!$D$8="Amcangyfrifon LlC",'Incwm (Canol. &amp; De-orll)'!E9,'Incwm (Canol. &amp; De-orll)'!W9)</f>
        <v>13563.544881006803</v>
      </c>
      <c r="AE9" s="4">
        <f>IF('Rhaniad y Ddeiliadaeth (Cymru)'!$D$8="Amcangyfrifon LlC",'Incwm (Canol. &amp; De-orll)'!F9,'Incwm (Canol. &amp; De-orll)'!X9)</f>
        <v>13774.113558346153</v>
      </c>
      <c r="AF9" s="4">
        <f>IF('Rhaniad y Ddeiliadaeth (Cymru)'!$D$8="Amcangyfrifon LlC",'Incwm (Canol. &amp; De-orll)'!G9,'Incwm (Canol. &amp; De-orll)'!Y9)</f>
        <v>14042.894263799217</v>
      </c>
      <c r="AG9" s="4">
        <f>IF('Rhaniad y Ddeiliadaeth (Cymru)'!$D$8="Amcangyfrifon LlC",'Incwm (Canol. &amp; De-orll)'!H9,'Incwm (Canol. &amp; De-orll)'!Z9)</f>
        <v>14326.377589070109</v>
      </c>
    </row>
    <row r="10" spans="2:33" x14ac:dyDescent="0.25">
      <c r="B10" s="20">
        <v>16</v>
      </c>
      <c r="C10" s="56">
        <v>13680.5</v>
      </c>
      <c r="D10" s="57">
        <f>C10*(1+'Rhaniad y Ddeiliadaeth (C&amp;De-o)'!C$109)+(C$44*(-(50-$B10)*('Rhaniad y Ddeiliadaeth (C&amp;De-o)'!C$110/40)))</f>
        <v>13950.110009826089</v>
      </c>
      <c r="E10" s="57">
        <f>D10*(1+'Rhaniad y Ddeiliadaeth (C&amp;De-o)'!D$109)+(D$44*(-(50-$B10)*('Rhaniad y Ddeiliadaeth (C&amp;De-o)'!D$110/40)))</f>
        <v>14086.830156102653</v>
      </c>
      <c r="F10" s="57">
        <f>E10*(1+'Rhaniad y Ddeiliadaeth (C&amp;De-o)'!E$109)+(E$44*(-(50-$B10)*('Rhaniad y Ddeiliadaeth (C&amp;De-o)'!E$110/40)))</f>
        <v>14321.260064709695</v>
      </c>
      <c r="G10" s="57">
        <f>F10*(1+'Rhaniad y Ddeiliadaeth (C&amp;De-o)'!F$109)+(F$44*(-(50-$B10)*('Rhaniad y Ddeiliadaeth (C&amp;De-o)'!F$110/40)))</f>
        <v>14617.247708802421</v>
      </c>
      <c r="H10" s="58">
        <f>G10*(1+'Rhaniad y Ddeiliadaeth (C&amp;De-o)'!G$109)+(G$44*(-(50-$B10)*('Rhaniad y Ddeiliadaeth (C&amp;De-o)'!G$110/40)))</f>
        <v>14929.764215834939</v>
      </c>
      <c r="J10" s="420"/>
      <c r="L10" s="62" t="str">
        <f t="shared" si="0"/>
        <v/>
      </c>
      <c r="M10" s="227"/>
      <c r="N10" s="14">
        <f t="shared" si="3"/>
        <v>1</v>
      </c>
      <c r="T10" s="1">
        <f t="shared" si="1"/>
        <v>16</v>
      </c>
      <c r="U10" s="4" t="str">
        <f t="shared" si="2"/>
        <v/>
      </c>
      <c r="V10" s="4" t="e">
        <f>IF($V$3=$M$3,M10,U10*(1+'Rhaniad y Ddeiliadaeth (C&amp;De-o)'!C$109)+(U$44*(-(50-$T10)*('Rhaniad y Ddeiliadaeth (C&amp;De-o)'!C$110/40))))</f>
        <v>#VALUE!</v>
      </c>
      <c r="W10" s="4" t="e">
        <f>V10*(1+'Rhaniad y Ddeiliadaeth (C&amp;De-o)'!D$109)+(V$44*(-(50-$T10)*('Rhaniad y Ddeiliadaeth (C&amp;De-o)'!D$110/40)))</f>
        <v>#VALUE!</v>
      </c>
      <c r="X10" s="4" t="e">
        <f>W10*(1+'Rhaniad y Ddeiliadaeth (C&amp;De-o)'!E$109)+(W$44*(-(50-$T10)*('Rhaniad y Ddeiliadaeth (C&amp;De-o)'!E$110/40)))</f>
        <v>#VALUE!</v>
      </c>
      <c r="Y10" s="4" t="e">
        <f>X10*(1+'Rhaniad y Ddeiliadaeth (C&amp;De-o)'!F$109)+(X$44*(-(50-$T10)*('Rhaniad y Ddeiliadaeth (C&amp;De-o)'!F$110/40)))</f>
        <v>#VALUE!</v>
      </c>
      <c r="Z10" s="4" t="e">
        <f>Y10*(1+'Rhaniad y Ddeiliadaeth (C&amp;De-o)'!G$109)+(Y$44*(-(50-$T10)*('Rhaniad y Ddeiliadaeth (C&amp;De-o)'!G$110/40)))</f>
        <v>#VALUE!</v>
      </c>
      <c r="AB10" s="1">
        <v>16</v>
      </c>
      <c r="AC10" s="4">
        <f>IF('Rhaniad y Ddeiliadaeth (Cymru)'!$D$8="Amcangyfrifon LlC",'Incwm (Canol. &amp; De-orll)'!D10,'Incwm (Canol. &amp; De-orll)'!V10)</f>
        <v>13950.110009826089</v>
      </c>
      <c r="AD10" s="4">
        <f>IF('Rhaniad y Ddeiliadaeth (Cymru)'!$D$8="Amcangyfrifon LlC",'Incwm (Canol. &amp; De-orll)'!E10,'Incwm (Canol. &amp; De-orll)'!W10)</f>
        <v>14086.830156102653</v>
      </c>
      <c r="AE10" s="4">
        <f>IF('Rhaniad y Ddeiliadaeth (Cymru)'!$D$8="Amcangyfrifon LlC",'Incwm (Canol. &amp; De-orll)'!F10,'Incwm (Canol. &amp; De-orll)'!X10)</f>
        <v>14321.260064709695</v>
      </c>
      <c r="AF10" s="4">
        <f>IF('Rhaniad y Ddeiliadaeth (Cymru)'!$D$8="Amcangyfrifon LlC",'Incwm (Canol. &amp; De-orll)'!G10,'Incwm (Canol. &amp; De-orll)'!Y10)</f>
        <v>14617.247708802421</v>
      </c>
      <c r="AG10" s="4">
        <f>IF('Rhaniad y Ddeiliadaeth (Cymru)'!$D$8="Amcangyfrifon LlC",'Incwm (Canol. &amp; De-orll)'!H10,'Incwm (Canol. &amp; De-orll)'!Z10)</f>
        <v>14929.764215834939</v>
      </c>
    </row>
    <row r="11" spans="2:33" x14ac:dyDescent="0.25">
      <c r="B11" s="20">
        <v>17</v>
      </c>
      <c r="C11" s="56">
        <v>14017.75</v>
      </c>
      <c r="D11" s="57">
        <f>C11*(1+'Rhaniad y Ddeiliadaeth (C&amp;De-o)'!C$109)+(C$44*(-(50-$B11)*('Rhaniad y Ddeiliadaeth (C&amp;De-o)'!C$110/40)))</f>
        <v>14305.596025382089</v>
      </c>
      <c r="E11" s="57">
        <f>D11*(1+'Rhaniad y Ddeiliadaeth (C&amp;De-o)'!D$109)+(D$44*(-(50-$B11)*('Rhaniad y Ddeiliadaeth (C&amp;De-o)'!D$110/40)))</f>
        <v>14457.98419601183</v>
      </c>
      <c r="F11" s="57">
        <f>E11*(1+'Rhaniad y Ddeiliadaeth (C&amp;De-o)'!E$109)+(E$44*(-(50-$B11)*('Rhaniad y Ddeiliadaeth (C&amp;De-o)'!E$110/40)))</f>
        <v>14711.284973221545</v>
      </c>
      <c r="G11" s="57">
        <f>F11*(1+'Rhaniad y Ddeiliadaeth (C&amp;De-o)'!F$109)+(F$44*(-(50-$B11)*('Rhaniad y Ddeiliadaeth (C&amp;De-o)'!F$110/40)))</f>
        <v>15028.652567541814</v>
      </c>
      <c r="H11" s="58">
        <f>G11*(1+'Rhaniad y Ddeiliadaeth (C&amp;De-o)'!G$109)+(G$44*(-(50-$B11)*('Rhaniad y Ddeiliadaeth (C&amp;De-o)'!G$110/40)))</f>
        <v>15364.000070897386</v>
      </c>
      <c r="L11" s="62" t="str">
        <f t="shared" si="0"/>
        <v/>
      </c>
      <c r="M11" s="227"/>
      <c r="N11" s="14">
        <f t="shared" si="3"/>
        <v>1</v>
      </c>
      <c r="T11" s="1">
        <f t="shared" si="1"/>
        <v>17</v>
      </c>
      <c r="U11" s="4" t="str">
        <f t="shared" si="2"/>
        <v/>
      </c>
      <c r="V11" s="4" t="e">
        <f>IF($V$3=$M$3,M11,U11*(1+'Rhaniad y Ddeiliadaeth (C&amp;De-o)'!C$109)+(U$44*(-(50-$T11)*('Rhaniad y Ddeiliadaeth (C&amp;De-o)'!C$110/40))))</f>
        <v>#VALUE!</v>
      </c>
      <c r="W11" s="4" t="e">
        <f>V11*(1+'Rhaniad y Ddeiliadaeth (C&amp;De-o)'!D$109)+(V$44*(-(50-$T11)*('Rhaniad y Ddeiliadaeth (C&amp;De-o)'!D$110/40)))</f>
        <v>#VALUE!</v>
      </c>
      <c r="X11" s="4" t="e">
        <f>W11*(1+'Rhaniad y Ddeiliadaeth (C&amp;De-o)'!E$109)+(W$44*(-(50-$T11)*('Rhaniad y Ddeiliadaeth (C&amp;De-o)'!E$110/40)))</f>
        <v>#VALUE!</v>
      </c>
      <c r="Y11" s="4" t="e">
        <f>X11*(1+'Rhaniad y Ddeiliadaeth (C&amp;De-o)'!F$109)+(X$44*(-(50-$T11)*('Rhaniad y Ddeiliadaeth (C&amp;De-o)'!F$110/40)))</f>
        <v>#VALUE!</v>
      </c>
      <c r="Z11" s="4" t="e">
        <f>Y11*(1+'Rhaniad y Ddeiliadaeth (C&amp;De-o)'!G$109)+(Y$44*(-(50-$T11)*('Rhaniad y Ddeiliadaeth (C&amp;De-o)'!G$110/40)))</f>
        <v>#VALUE!</v>
      </c>
      <c r="AB11" s="1">
        <v>17</v>
      </c>
      <c r="AC11" s="4">
        <f>IF('Rhaniad y Ddeiliadaeth (Cymru)'!$D$8="Amcangyfrifon LlC",'Incwm (Canol. &amp; De-orll)'!D11,'Incwm (Canol. &amp; De-orll)'!V11)</f>
        <v>14305.596025382089</v>
      </c>
      <c r="AD11" s="4">
        <f>IF('Rhaniad y Ddeiliadaeth (Cymru)'!$D$8="Amcangyfrifon LlC",'Incwm (Canol. &amp; De-orll)'!E11,'Incwm (Canol. &amp; De-orll)'!W11)</f>
        <v>14457.98419601183</v>
      </c>
      <c r="AE11" s="4">
        <f>IF('Rhaniad y Ddeiliadaeth (Cymru)'!$D$8="Amcangyfrifon LlC",'Incwm (Canol. &amp; De-orll)'!F11,'Incwm (Canol. &amp; De-orll)'!X11)</f>
        <v>14711.284973221545</v>
      </c>
      <c r="AF11" s="4">
        <f>IF('Rhaniad y Ddeiliadaeth (Cymru)'!$D$8="Amcangyfrifon LlC",'Incwm (Canol. &amp; De-orll)'!G11,'Incwm (Canol. &amp; De-orll)'!Y11)</f>
        <v>15028.652567541814</v>
      </c>
      <c r="AG11" s="4">
        <f>IF('Rhaniad y Ddeiliadaeth (Cymru)'!$D$8="Amcangyfrifon LlC",'Incwm (Canol. &amp; De-orll)'!H11,'Incwm (Canol. &amp; De-orll)'!Z11)</f>
        <v>15364.000070897386</v>
      </c>
    </row>
    <row r="12" spans="2:33" x14ac:dyDescent="0.25">
      <c r="B12" s="20">
        <v>18</v>
      </c>
      <c r="C12" s="56">
        <v>14333.233</v>
      </c>
      <c r="D12" s="57">
        <f>C12*(1+'Rhaniad y Ddeiliadaeth (C&amp;De-o)'!C$109)+(C$44*(-(50-$B12)*('Rhaniad y Ddeiliadaeth (C&amp;De-o)'!C$110/40)))</f>
        <v>14638.544981885139</v>
      </c>
      <c r="E12" s="57">
        <f>D12*(1+'Rhaniad y Ddeiliadaeth (C&amp;De-o)'!D$109)+(D$44*(-(50-$B12)*('Rhaniad y Ddeiliadaeth (C&amp;De-o)'!D$110/40)))</f>
        <v>14806.021722159692</v>
      </c>
      <c r="F12" s="57">
        <f>E12*(1+'Rhaniad y Ddeiliadaeth (C&amp;De-o)'!E$109)+(E$44*(-(50-$B12)*('Rhaniad y Ddeiliadaeth (C&amp;De-o)'!E$110/40)))</f>
        <v>15077.435076704161</v>
      </c>
      <c r="G12" s="57">
        <f>F12*(1+'Rhaniad y Ddeiliadaeth (C&amp;De-o)'!F$109)+(F$44*(-(50-$B12)*('Rhaniad y Ddeiliadaeth (C&amp;De-o)'!F$110/40)))</f>
        <v>15415.297203752729</v>
      </c>
      <c r="H12" s="58">
        <f>G12*(1+'Rhaniad y Ddeiliadaeth (C&amp;De-o)'!G$109)+(G$44*(-(50-$B12)*('Rhaniad y Ddeiliadaeth (C&amp;De-o)'!G$110/40)))</f>
        <v>15772.533274318324</v>
      </c>
      <c r="L12" s="62" t="str">
        <f t="shared" si="0"/>
        <v/>
      </c>
      <c r="M12" s="227"/>
      <c r="N12" s="14">
        <f t="shared" si="3"/>
        <v>1</v>
      </c>
      <c r="T12" s="1">
        <f t="shared" si="1"/>
        <v>18</v>
      </c>
      <c r="U12" s="4" t="str">
        <f t="shared" si="2"/>
        <v/>
      </c>
      <c r="V12" s="4" t="e">
        <f>IF($V$3=$M$3,M12,U12*(1+'Rhaniad y Ddeiliadaeth (C&amp;De-o)'!C$109)+(U$44*(-(50-$T12)*('Rhaniad y Ddeiliadaeth (C&amp;De-o)'!C$110/40))))</f>
        <v>#VALUE!</v>
      </c>
      <c r="W12" s="4" t="e">
        <f>V12*(1+'Rhaniad y Ddeiliadaeth (C&amp;De-o)'!D$109)+(V$44*(-(50-$T12)*('Rhaniad y Ddeiliadaeth (C&amp;De-o)'!D$110/40)))</f>
        <v>#VALUE!</v>
      </c>
      <c r="X12" s="4" t="e">
        <f>W12*(1+'Rhaniad y Ddeiliadaeth (C&amp;De-o)'!E$109)+(W$44*(-(50-$T12)*('Rhaniad y Ddeiliadaeth (C&amp;De-o)'!E$110/40)))</f>
        <v>#VALUE!</v>
      </c>
      <c r="Y12" s="4" t="e">
        <f>X12*(1+'Rhaniad y Ddeiliadaeth (C&amp;De-o)'!F$109)+(X$44*(-(50-$T12)*('Rhaniad y Ddeiliadaeth (C&amp;De-o)'!F$110/40)))</f>
        <v>#VALUE!</v>
      </c>
      <c r="Z12" s="4" t="e">
        <f>Y12*(1+'Rhaniad y Ddeiliadaeth (C&amp;De-o)'!G$109)+(Y$44*(-(50-$T12)*('Rhaniad y Ddeiliadaeth (C&amp;De-o)'!G$110/40)))</f>
        <v>#VALUE!</v>
      </c>
      <c r="AB12" s="1">
        <v>18</v>
      </c>
      <c r="AC12" s="4">
        <f>IF('Rhaniad y Ddeiliadaeth (Cymru)'!$D$8="Amcangyfrifon LlC",'Incwm (Canol. &amp; De-orll)'!D12,'Incwm (Canol. &amp; De-orll)'!V12)</f>
        <v>14638.544981885139</v>
      </c>
      <c r="AD12" s="4">
        <f>IF('Rhaniad y Ddeiliadaeth (Cymru)'!$D$8="Amcangyfrifon LlC",'Incwm (Canol. &amp; De-orll)'!E12,'Incwm (Canol. &amp; De-orll)'!W12)</f>
        <v>14806.021722159692</v>
      </c>
      <c r="AE12" s="4">
        <f>IF('Rhaniad y Ddeiliadaeth (Cymru)'!$D$8="Amcangyfrifon LlC",'Incwm (Canol. &amp; De-orll)'!F12,'Incwm (Canol. &amp; De-orll)'!X12)</f>
        <v>15077.435076704161</v>
      </c>
      <c r="AF12" s="4">
        <f>IF('Rhaniad y Ddeiliadaeth (Cymru)'!$D$8="Amcangyfrifon LlC",'Incwm (Canol. &amp; De-orll)'!G12,'Incwm (Canol. &amp; De-orll)'!Y12)</f>
        <v>15415.297203752729</v>
      </c>
      <c r="AG12" s="4">
        <f>IF('Rhaniad y Ddeiliadaeth (Cymru)'!$D$8="Amcangyfrifon LlC",'Incwm (Canol. &amp; De-orll)'!H12,'Incwm (Canol. &amp; De-orll)'!Z12)</f>
        <v>15772.533274318324</v>
      </c>
    </row>
    <row r="13" spans="2:33" x14ac:dyDescent="0.25">
      <c r="B13" s="20">
        <v>19</v>
      </c>
      <c r="C13" s="56">
        <v>14630</v>
      </c>
      <c r="D13" s="57">
        <f>C13*(1+'Rhaniad y Ddeiliadaeth (C&amp;De-o)'!C$109)+(C$44*(-(50-$B13)*('Rhaniad y Ddeiliadaeth (C&amp;De-o)'!C$110/40)))</f>
        <v>14952.115815668703</v>
      </c>
      <c r="E13" s="57">
        <f>D13*(1+'Rhaniad y Ddeiliadaeth (C&amp;De-o)'!D$109)+(D$44*(-(50-$B13)*('Rhaniad y Ddeiliadaeth (C&amp;De-o)'!D$110/40)))</f>
        <v>15134.182890906131</v>
      </c>
      <c r="F13" s="57">
        <f>E13*(1+'Rhaniad y Ddeiliadaeth (C&amp;De-o)'!E$109)+(E$44*(-(50-$B13)*('Rhaniad y Ddeiliadaeth (C&amp;De-o)'!E$110/40)))</f>
        <v>15423.056818403933</v>
      </c>
      <c r="G13" s="57">
        <f>F13*(1+'Rhaniad y Ddeiliadaeth (C&amp;De-o)'!F$109)+(F$44*(-(50-$B13)*('Rhaniad y Ddeiliadaeth (C&amp;De-o)'!F$110/40)))</f>
        <v>15780.652166382397</v>
      </c>
      <c r="H13" s="58">
        <f>G13*(1+'Rhaniad y Ddeiliadaeth (C&amp;De-o)'!G$109)+(G$44*(-(50-$B13)*('Rhaniad y Ddeiliadaeth (C&amp;De-o)'!G$110/40)))</f>
        <v>16158.966471853173</v>
      </c>
      <c r="L13" s="62" t="str">
        <f t="shared" si="0"/>
        <v/>
      </c>
      <c r="M13" s="227"/>
      <c r="N13" s="14">
        <f t="shared" si="3"/>
        <v>1</v>
      </c>
      <c r="T13" s="1">
        <f t="shared" si="1"/>
        <v>19</v>
      </c>
      <c r="U13" s="4" t="str">
        <f t="shared" si="2"/>
        <v/>
      </c>
      <c r="V13" s="4" t="e">
        <f>IF($V$3=$M$3,M13,U13*(1+'Rhaniad y Ddeiliadaeth (C&amp;De-o)'!C$109)+(U$44*(-(50-$T13)*('Rhaniad y Ddeiliadaeth (C&amp;De-o)'!C$110/40))))</f>
        <v>#VALUE!</v>
      </c>
      <c r="W13" s="4" t="e">
        <f>V13*(1+'Rhaniad y Ddeiliadaeth (C&amp;De-o)'!D$109)+(V$44*(-(50-$T13)*('Rhaniad y Ddeiliadaeth (C&amp;De-o)'!D$110/40)))</f>
        <v>#VALUE!</v>
      </c>
      <c r="X13" s="4" t="e">
        <f>W13*(1+'Rhaniad y Ddeiliadaeth (C&amp;De-o)'!E$109)+(W$44*(-(50-$T13)*('Rhaniad y Ddeiliadaeth (C&amp;De-o)'!E$110/40)))</f>
        <v>#VALUE!</v>
      </c>
      <c r="Y13" s="4" t="e">
        <f>X13*(1+'Rhaniad y Ddeiliadaeth (C&amp;De-o)'!F$109)+(X$44*(-(50-$T13)*('Rhaniad y Ddeiliadaeth (C&amp;De-o)'!F$110/40)))</f>
        <v>#VALUE!</v>
      </c>
      <c r="Z13" s="4" t="e">
        <f>Y13*(1+'Rhaniad y Ddeiliadaeth (C&amp;De-o)'!G$109)+(Y$44*(-(50-$T13)*('Rhaniad y Ddeiliadaeth (C&amp;De-o)'!G$110/40)))</f>
        <v>#VALUE!</v>
      </c>
      <c r="AB13" s="1">
        <v>19</v>
      </c>
      <c r="AC13" s="4">
        <f>IF('Rhaniad y Ddeiliadaeth (Cymru)'!$D$8="Amcangyfrifon LlC",'Incwm (Canol. &amp; De-orll)'!D13,'Incwm (Canol. &amp; De-orll)'!V13)</f>
        <v>14952.115815668703</v>
      </c>
      <c r="AD13" s="4">
        <f>IF('Rhaniad y Ddeiliadaeth (Cymru)'!$D$8="Amcangyfrifon LlC",'Incwm (Canol. &amp; De-orll)'!E13,'Incwm (Canol. &amp; De-orll)'!W13)</f>
        <v>15134.182890906131</v>
      </c>
      <c r="AE13" s="4">
        <f>IF('Rhaniad y Ddeiliadaeth (Cymru)'!$D$8="Amcangyfrifon LlC",'Incwm (Canol. &amp; De-orll)'!F13,'Incwm (Canol. &amp; De-orll)'!X13)</f>
        <v>15423.056818403933</v>
      </c>
      <c r="AF13" s="4">
        <f>IF('Rhaniad y Ddeiliadaeth (Cymru)'!$D$8="Amcangyfrifon LlC",'Incwm (Canol. &amp; De-orll)'!G13,'Incwm (Canol. &amp; De-orll)'!Y13)</f>
        <v>15780.652166382397</v>
      </c>
      <c r="AG13" s="4">
        <f>IF('Rhaniad y Ddeiliadaeth (Cymru)'!$D$8="Amcangyfrifon LlC",'Incwm (Canol. &amp; De-orll)'!H13,'Incwm (Canol. &amp; De-orll)'!Z13)</f>
        <v>16158.966471853173</v>
      </c>
    </row>
    <row r="14" spans="2:33" x14ac:dyDescent="0.25">
      <c r="B14" s="20">
        <v>20</v>
      </c>
      <c r="C14" s="56">
        <v>14895</v>
      </c>
      <c r="D14" s="57">
        <f>C14*(1+'Rhaniad y Ddeiliadaeth (C&amp;De-o)'!C$109)+(C$44*(-(50-$B14)*('Rhaniad y Ddeiliadaeth (C&amp;De-o)'!C$110/40)))</f>
        <v>15232.79581677275</v>
      </c>
      <c r="E14" s="57">
        <f>D14*(1+'Rhaniad y Ddeiliadaeth (C&amp;De-o)'!D$109)+(D$44*(-(50-$B14)*('Rhaniad y Ddeiliadaeth (C&amp;De-o)'!D$110/40)))</f>
        <v>15428.607564377349</v>
      </c>
      <c r="F14" s="57">
        <f>E14*(1+'Rhaniad y Ddeiliadaeth (C&amp;De-o)'!E$109)+(E$44*(-(50-$B14)*('Rhaniad y Ddeiliadaeth (C&amp;De-o)'!E$110/40)))</f>
        <v>15733.835406184297</v>
      </c>
      <c r="G14" s="57">
        <f>F14*(1+'Rhaniad y Ddeiliadaeth (C&amp;De-o)'!F$109)+(F$44*(-(50-$B14)*('Rhaniad y Ddeiliadaeth (C&amp;De-o)'!F$110/40)))</f>
        <v>16109.871787023634</v>
      </c>
      <c r="H14" s="58">
        <f>G14*(1+'Rhaniad y Ddeiliadaeth (C&amp;De-o)'!G$109)+(G$44*(-(50-$B14)*('Rhaniad y Ddeiliadaeth (C&amp;De-o)'!G$110/40)))</f>
        <v>16507.888935952284</v>
      </c>
      <c r="L14" s="62" t="str">
        <f t="shared" si="0"/>
        <v/>
      </c>
      <c r="M14" s="227"/>
      <c r="N14" s="14">
        <f t="shared" si="3"/>
        <v>1</v>
      </c>
      <c r="T14" s="1">
        <f t="shared" si="1"/>
        <v>20</v>
      </c>
      <c r="U14" s="4" t="str">
        <f t="shared" si="2"/>
        <v/>
      </c>
      <c r="V14" s="4" t="e">
        <f>IF($V$3=$M$3,M14,U14*(1+'Rhaniad y Ddeiliadaeth (C&amp;De-o)'!C$109)+(U$44*(-(50-$T14)*('Rhaniad y Ddeiliadaeth (C&amp;De-o)'!C$110/40))))</f>
        <v>#VALUE!</v>
      </c>
      <c r="W14" s="4" t="e">
        <f>V14*(1+'Rhaniad y Ddeiliadaeth (C&amp;De-o)'!D$109)+(V$44*(-(50-$T14)*('Rhaniad y Ddeiliadaeth (C&amp;De-o)'!D$110/40)))</f>
        <v>#VALUE!</v>
      </c>
      <c r="X14" s="4" t="e">
        <f>W14*(1+'Rhaniad y Ddeiliadaeth (C&amp;De-o)'!E$109)+(W$44*(-(50-$T14)*('Rhaniad y Ddeiliadaeth (C&amp;De-o)'!E$110/40)))</f>
        <v>#VALUE!</v>
      </c>
      <c r="Y14" s="4" t="e">
        <f>X14*(1+'Rhaniad y Ddeiliadaeth (C&amp;De-o)'!F$109)+(X$44*(-(50-$T14)*('Rhaniad y Ddeiliadaeth (C&amp;De-o)'!F$110/40)))</f>
        <v>#VALUE!</v>
      </c>
      <c r="Z14" s="4" t="e">
        <f>Y14*(1+'Rhaniad y Ddeiliadaeth (C&amp;De-o)'!G$109)+(Y$44*(-(50-$T14)*('Rhaniad y Ddeiliadaeth (C&amp;De-o)'!G$110/40)))</f>
        <v>#VALUE!</v>
      </c>
      <c r="AB14" s="1">
        <v>20</v>
      </c>
      <c r="AC14" s="4">
        <f>IF('Rhaniad y Ddeiliadaeth (Cymru)'!$D$8="Amcangyfrifon LlC",'Incwm (Canol. &amp; De-orll)'!D14,'Incwm (Canol. &amp; De-orll)'!V14)</f>
        <v>15232.79581677275</v>
      </c>
      <c r="AD14" s="4">
        <f>IF('Rhaniad y Ddeiliadaeth (Cymru)'!$D$8="Amcangyfrifon LlC",'Incwm (Canol. &amp; De-orll)'!E14,'Incwm (Canol. &amp; De-orll)'!W14)</f>
        <v>15428.607564377349</v>
      </c>
      <c r="AE14" s="4">
        <f>IF('Rhaniad y Ddeiliadaeth (Cymru)'!$D$8="Amcangyfrifon LlC",'Incwm (Canol. &amp; De-orll)'!F14,'Incwm (Canol. &amp; De-orll)'!X14)</f>
        <v>15733.835406184297</v>
      </c>
      <c r="AF14" s="4">
        <f>IF('Rhaniad y Ddeiliadaeth (Cymru)'!$D$8="Amcangyfrifon LlC",'Incwm (Canol. &amp; De-orll)'!G14,'Incwm (Canol. &amp; De-orll)'!Y14)</f>
        <v>16109.871787023634</v>
      </c>
      <c r="AG14" s="4">
        <f>IF('Rhaniad y Ddeiliadaeth (Cymru)'!$D$8="Amcangyfrifon LlC",'Incwm (Canol. &amp; De-orll)'!H14,'Incwm (Canol. &amp; De-orll)'!Z14)</f>
        <v>16507.888935952284</v>
      </c>
    </row>
    <row r="15" spans="2:33" x14ac:dyDescent="0.25">
      <c r="B15" s="20">
        <v>21</v>
      </c>
      <c r="C15" s="56">
        <v>15020</v>
      </c>
      <c r="D15" s="57">
        <f>C15*(1+'Rhaniad y Ddeiliadaeth (C&amp;De-o)'!C$109)+(C$44*(-(50-$B15)*('Rhaniad y Ddeiliadaeth (C&amp;De-o)'!C$110/40)))</f>
        <v>15368.522987104849</v>
      </c>
      <c r="E15" s="57">
        <f>D15*(1+'Rhaniad y Ddeiliadaeth (C&amp;De-o)'!D$109)+(D$44*(-(50-$B15)*('Rhaniad y Ddeiliadaeth (C&amp;De-o)'!D$110/40)))</f>
        <v>15574.352496653913</v>
      </c>
      <c r="F15" s="57">
        <f>E15*(1+'Rhaniad y Ddeiliadaeth (C&amp;De-o)'!E$109)+(E$44*(-(50-$B15)*('Rhaniad y Ddeiliadaeth (C&amp;De-o)'!E$110/40)))</f>
        <v>15891.057109502273</v>
      </c>
      <c r="G15" s="57">
        <f>F15*(1+'Rhaniad y Ddeiliadaeth (C&amp;De-o)'!F$109)+(F$44*(-(50-$B15)*('Rhaniad y Ddeiliadaeth (C&amp;De-o)'!F$110/40)))</f>
        <v>16279.839735225545</v>
      </c>
      <c r="H15" s="58">
        <f>G15*(1+'Rhaniad y Ddeiliadaeth (C&amp;De-o)'!G$109)+(G$44*(-(50-$B15)*('Rhaniad y Ddeiliadaeth (C&amp;De-o)'!G$110/40)))</f>
        <v>16691.498254932136</v>
      </c>
      <c r="L15" s="62" t="str">
        <f t="shared" si="0"/>
        <v/>
      </c>
      <c r="M15" s="227"/>
      <c r="N15" s="14">
        <f t="shared" si="3"/>
        <v>1</v>
      </c>
      <c r="T15" s="1">
        <f t="shared" si="1"/>
        <v>21</v>
      </c>
      <c r="U15" s="4" t="str">
        <f t="shared" si="2"/>
        <v/>
      </c>
      <c r="V15" s="4" t="e">
        <f>IF($V$3=$M$3,M15,U15*(1+'Rhaniad y Ddeiliadaeth (C&amp;De-o)'!C$109)+(U$44*(-(50-$T15)*('Rhaniad y Ddeiliadaeth (C&amp;De-o)'!C$110/40))))</f>
        <v>#VALUE!</v>
      </c>
      <c r="W15" s="4" t="e">
        <f>V15*(1+'Rhaniad y Ddeiliadaeth (C&amp;De-o)'!D$109)+(V$44*(-(50-$T15)*('Rhaniad y Ddeiliadaeth (C&amp;De-o)'!D$110/40)))</f>
        <v>#VALUE!</v>
      </c>
      <c r="X15" s="4" t="e">
        <f>W15*(1+'Rhaniad y Ddeiliadaeth (C&amp;De-o)'!E$109)+(W$44*(-(50-$T15)*('Rhaniad y Ddeiliadaeth (C&amp;De-o)'!E$110/40)))</f>
        <v>#VALUE!</v>
      </c>
      <c r="Y15" s="4" t="e">
        <f>X15*(1+'Rhaniad y Ddeiliadaeth (C&amp;De-o)'!F$109)+(X$44*(-(50-$T15)*('Rhaniad y Ddeiliadaeth (C&amp;De-o)'!F$110/40)))</f>
        <v>#VALUE!</v>
      </c>
      <c r="Z15" s="4" t="e">
        <f>Y15*(1+'Rhaniad y Ddeiliadaeth (C&amp;De-o)'!G$109)+(Y$44*(-(50-$T15)*('Rhaniad y Ddeiliadaeth (C&amp;De-o)'!G$110/40)))</f>
        <v>#VALUE!</v>
      </c>
      <c r="AB15" s="1">
        <v>21</v>
      </c>
      <c r="AC15" s="4">
        <f>IF('Rhaniad y Ddeiliadaeth (Cymru)'!$D$8="Amcangyfrifon LlC",'Incwm (Canol. &amp; De-orll)'!D15,'Incwm (Canol. &amp; De-orll)'!V15)</f>
        <v>15368.522987104849</v>
      </c>
      <c r="AD15" s="4">
        <f>IF('Rhaniad y Ddeiliadaeth (Cymru)'!$D$8="Amcangyfrifon LlC",'Incwm (Canol. &amp; De-orll)'!E15,'Incwm (Canol. &amp; De-orll)'!W15)</f>
        <v>15574.352496653913</v>
      </c>
      <c r="AE15" s="4">
        <f>IF('Rhaniad y Ddeiliadaeth (Cymru)'!$D$8="Amcangyfrifon LlC",'Incwm (Canol. &amp; De-orll)'!F15,'Incwm (Canol. &amp; De-orll)'!X15)</f>
        <v>15891.057109502273</v>
      </c>
      <c r="AF15" s="4">
        <f>IF('Rhaniad y Ddeiliadaeth (Cymru)'!$D$8="Amcangyfrifon LlC",'Incwm (Canol. &amp; De-orll)'!G15,'Incwm (Canol. &amp; De-orll)'!Y15)</f>
        <v>16279.839735225545</v>
      </c>
      <c r="AG15" s="4">
        <f>IF('Rhaniad y Ddeiliadaeth (Cymru)'!$D$8="Amcangyfrifon LlC",'Incwm (Canol. &amp; De-orll)'!H15,'Incwm (Canol. &amp; De-orll)'!Z15)</f>
        <v>16691.498254932136</v>
      </c>
    </row>
    <row r="16" spans="2:33" x14ac:dyDescent="0.25">
      <c r="B16" s="20">
        <v>22</v>
      </c>
      <c r="C16" s="56">
        <v>15091.5</v>
      </c>
      <c r="D16" s="57">
        <f>C16*(1+'Rhaniad y Ddeiliadaeth (C&amp;De-o)'!C$109)+(C$44*(-(50-$B16)*('Rhaniad y Ddeiliadaeth (C&amp;De-o)'!C$110/40)))</f>
        <v>15448.857468534807</v>
      </c>
      <c r="E16" s="57">
        <f>D16*(1+'Rhaniad y Ddeiliadaeth (C&amp;De-o)'!D$109)+(D$44*(-(50-$B16)*('Rhaniad y Ddeiliadaeth (C&amp;De-o)'!D$110/40)))</f>
        <v>15663.280527831086</v>
      </c>
      <c r="F16" s="57">
        <f>E16*(1+'Rhaniad y Ddeiliadaeth (C&amp;De-o)'!E$109)+(E$44*(-(50-$B16)*('Rhaniad y Ddeiliadaeth (C&amp;De-o)'!E$110/40)))</f>
        <v>15989.598146257829</v>
      </c>
      <c r="G16" s="57">
        <f>F16*(1+'Rhaniad y Ddeiliadaeth (C&amp;De-o)'!F$109)+(F$44*(-(50-$B16)*('Rhaniad y Ddeiliadaeth (C&amp;De-o)'!F$110/40)))</f>
        <v>16388.950794316705</v>
      </c>
      <c r="H16" s="58">
        <f>G16*(1+'Rhaniad y Ddeiliadaeth (C&amp;De-o)'!G$109)+(G$44*(-(50-$B16)*('Rhaniad y Ddeiliadaeth (C&amp;De-o)'!G$110/40)))</f>
        <v>16811.934336312832</v>
      </c>
      <c r="L16" s="62" t="str">
        <f t="shared" si="0"/>
        <v/>
      </c>
      <c r="M16" s="227"/>
      <c r="N16" s="14">
        <f t="shared" si="3"/>
        <v>1</v>
      </c>
      <c r="T16" s="1">
        <f t="shared" si="1"/>
        <v>22</v>
      </c>
      <c r="U16" s="4" t="str">
        <f t="shared" si="2"/>
        <v/>
      </c>
      <c r="V16" s="4" t="e">
        <f>IF($V$3=$M$3,M16,U16*(1+'Rhaniad y Ddeiliadaeth (C&amp;De-o)'!C$109)+(U$44*(-(50-$T16)*('Rhaniad y Ddeiliadaeth (C&amp;De-o)'!C$110/40))))</f>
        <v>#VALUE!</v>
      </c>
      <c r="W16" s="4" t="e">
        <f>V16*(1+'Rhaniad y Ddeiliadaeth (C&amp;De-o)'!D$109)+(V$44*(-(50-$T16)*('Rhaniad y Ddeiliadaeth (C&amp;De-o)'!D$110/40)))</f>
        <v>#VALUE!</v>
      </c>
      <c r="X16" s="4" t="e">
        <f>W16*(1+'Rhaniad y Ddeiliadaeth (C&amp;De-o)'!E$109)+(W$44*(-(50-$T16)*('Rhaniad y Ddeiliadaeth (C&amp;De-o)'!E$110/40)))</f>
        <v>#VALUE!</v>
      </c>
      <c r="Y16" s="4" t="e">
        <f>X16*(1+'Rhaniad y Ddeiliadaeth (C&amp;De-o)'!F$109)+(X$44*(-(50-$T16)*('Rhaniad y Ddeiliadaeth (C&amp;De-o)'!F$110/40)))</f>
        <v>#VALUE!</v>
      </c>
      <c r="Z16" s="4" t="e">
        <f>Y16*(1+'Rhaniad y Ddeiliadaeth (C&amp;De-o)'!G$109)+(Y$44*(-(50-$T16)*('Rhaniad y Ddeiliadaeth (C&amp;De-o)'!G$110/40)))</f>
        <v>#VALUE!</v>
      </c>
      <c r="AB16" s="1">
        <v>22</v>
      </c>
      <c r="AC16" s="4">
        <f>IF('Rhaniad y Ddeiliadaeth (Cymru)'!$D$8="Amcangyfrifon LlC",'Incwm (Canol. &amp; De-orll)'!D16,'Incwm (Canol. &amp; De-orll)'!V16)</f>
        <v>15448.857468534807</v>
      </c>
      <c r="AD16" s="4">
        <f>IF('Rhaniad y Ddeiliadaeth (Cymru)'!$D$8="Amcangyfrifon LlC",'Incwm (Canol. &amp; De-orll)'!E16,'Incwm (Canol. &amp; De-orll)'!W16)</f>
        <v>15663.280527831086</v>
      </c>
      <c r="AE16" s="4">
        <f>IF('Rhaniad y Ddeiliadaeth (Cymru)'!$D$8="Amcangyfrifon LlC",'Incwm (Canol. &amp; De-orll)'!F16,'Incwm (Canol. &amp; De-orll)'!X16)</f>
        <v>15989.598146257829</v>
      </c>
      <c r="AF16" s="4">
        <f>IF('Rhaniad y Ddeiliadaeth (Cymru)'!$D$8="Amcangyfrifon LlC",'Incwm (Canol. &amp; De-orll)'!G16,'Incwm (Canol. &amp; De-orll)'!Y16)</f>
        <v>16388.950794316705</v>
      </c>
      <c r="AG16" s="4">
        <f>IF('Rhaniad y Ddeiliadaeth (Cymru)'!$D$8="Amcangyfrifon LlC",'Incwm (Canol. &amp; De-orll)'!H16,'Incwm (Canol. &amp; De-orll)'!Z16)</f>
        <v>16811.934336312832</v>
      </c>
    </row>
    <row r="17" spans="2:33" x14ac:dyDescent="0.25">
      <c r="B17" s="20">
        <v>23</v>
      </c>
      <c r="C17" s="56">
        <v>15415</v>
      </c>
      <c r="D17" s="57">
        <f>C17*(1+'Rhaniad y Ddeiliadaeth (C&amp;De-o)'!C$109)+(C$44*(-(50-$B17)*('Rhaniad y Ddeiliadaeth (C&amp;De-o)'!C$110/40)))</f>
        <v>15790.107045354276</v>
      </c>
      <c r="E17" s="57">
        <f>D17*(1+'Rhaniad y Ddeiliadaeth (C&amp;De-o)'!D$109)+(D$44*(-(50-$B17)*('Rhaniad y Ddeiliadaeth (C&amp;De-o)'!D$110/40)))</f>
        <v>16019.832093158646</v>
      </c>
      <c r="F17" s="57">
        <f>E17*(1+'Rhaniad y Ddeiliadaeth (C&amp;De-o)'!E$109)+(E$44*(-(50-$B17)*('Rhaniad y Ddeiliadaeth (C&amp;De-o)'!E$110/40)))</f>
        <v>16364.541575045698</v>
      </c>
      <c r="G17" s="57">
        <f>F17*(1+'Rhaniad y Ddeiliadaeth (C&amp;De-o)'!F$109)+(F$44*(-(50-$B17)*('Rhaniad y Ddeiliadaeth (C&amp;De-o)'!F$110/40)))</f>
        <v>16784.714863798665</v>
      </c>
      <c r="H17" s="58">
        <f>G17*(1+'Rhaniad y Ddeiliadaeth (C&amp;De-o)'!G$109)+(G$44*(-(50-$B17)*('Rhaniad y Ddeiliadaeth (C&amp;De-o)'!G$110/40)))</f>
        <v>17229.934078908205</v>
      </c>
      <c r="L17" s="62" t="str">
        <f t="shared" si="0"/>
        <v/>
      </c>
      <c r="M17" s="227"/>
      <c r="N17" s="14">
        <f t="shared" si="3"/>
        <v>1</v>
      </c>
      <c r="T17" s="1">
        <f t="shared" si="1"/>
        <v>23</v>
      </c>
      <c r="U17" s="4" t="str">
        <f t="shared" si="2"/>
        <v/>
      </c>
      <c r="V17" s="4" t="e">
        <f>IF($V$3=$M$3,M17,U17*(1+'Rhaniad y Ddeiliadaeth (C&amp;De-o)'!C$109)+(U$44*(-(50-$T17)*('Rhaniad y Ddeiliadaeth (C&amp;De-o)'!C$110/40))))</f>
        <v>#VALUE!</v>
      </c>
      <c r="W17" s="4" t="e">
        <f>V17*(1+'Rhaniad y Ddeiliadaeth (C&amp;De-o)'!D$109)+(V$44*(-(50-$T17)*('Rhaniad y Ddeiliadaeth (C&amp;De-o)'!D$110/40)))</f>
        <v>#VALUE!</v>
      </c>
      <c r="X17" s="4" t="e">
        <f>W17*(1+'Rhaniad y Ddeiliadaeth (C&amp;De-o)'!E$109)+(W$44*(-(50-$T17)*('Rhaniad y Ddeiliadaeth (C&amp;De-o)'!E$110/40)))</f>
        <v>#VALUE!</v>
      </c>
      <c r="Y17" s="4" t="e">
        <f>X17*(1+'Rhaniad y Ddeiliadaeth (C&amp;De-o)'!F$109)+(X$44*(-(50-$T17)*('Rhaniad y Ddeiliadaeth (C&amp;De-o)'!F$110/40)))</f>
        <v>#VALUE!</v>
      </c>
      <c r="Z17" s="4" t="e">
        <f>Y17*(1+'Rhaniad y Ddeiliadaeth (C&amp;De-o)'!G$109)+(Y$44*(-(50-$T17)*('Rhaniad y Ddeiliadaeth (C&amp;De-o)'!G$110/40)))</f>
        <v>#VALUE!</v>
      </c>
      <c r="AB17" s="1">
        <v>23</v>
      </c>
      <c r="AC17" s="4">
        <f>IF('Rhaniad y Ddeiliadaeth (Cymru)'!$D$8="Amcangyfrifon LlC",'Incwm (Canol. &amp; De-orll)'!D17,'Incwm (Canol. &amp; De-orll)'!V17)</f>
        <v>15790.107045354276</v>
      </c>
      <c r="AD17" s="4">
        <f>IF('Rhaniad y Ddeiliadaeth (Cymru)'!$D$8="Amcangyfrifon LlC",'Incwm (Canol. &amp; De-orll)'!E17,'Incwm (Canol. &amp; De-orll)'!W17)</f>
        <v>16019.832093158646</v>
      </c>
      <c r="AE17" s="4">
        <f>IF('Rhaniad y Ddeiliadaeth (Cymru)'!$D$8="Amcangyfrifon LlC",'Incwm (Canol. &amp; De-orll)'!F17,'Incwm (Canol. &amp; De-orll)'!X17)</f>
        <v>16364.541575045698</v>
      </c>
      <c r="AF17" s="4">
        <f>IF('Rhaniad y Ddeiliadaeth (Cymru)'!$D$8="Amcangyfrifon LlC",'Incwm (Canol. &amp; De-orll)'!G17,'Incwm (Canol. &amp; De-orll)'!Y17)</f>
        <v>16784.714863798665</v>
      </c>
      <c r="AG17" s="4">
        <f>IF('Rhaniad y Ddeiliadaeth (Cymru)'!$D$8="Amcangyfrifon LlC",'Incwm (Canol. &amp; De-orll)'!H17,'Incwm (Canol. &amp; De-orll)'!Z17)</f>
        <v>17229.934078908205</v>
      </c>
    </row>
    <row r="18" spans="2:33" x14ac:dyDescent="0.25">
      <c r="B18" s="20">
        <v>24</v>
      </c>
      <c r="C18" s="56">
        <v>15700.5</v>
      </c>
      <c r="D18" s="57">
        <f>C18*(1+'Rhaniad y Ddeiliadaeth (C&amp;De-o)'!C$109)+(C$44*(-(50-$B18)*('Rhaniad y Ddeiliadaeth (C&amp;De-o)'!C$110/40)))</f>
        <v>16092.012282392787</v>
      </c>
      <c r="E18" s="57">
        <f>D18*(1+'Rhaniad y Ddeiliadaeth (C&amp;De-o)'!D$109)+(D$44*(-(50-$B18)*('Rhaniad y Ddeiliadaeth (C&amp;De-o)'!D$110/40)))</f>
        <v>16336.02772873337</v>
      </c>
      <c r="F18" s="57">
        <f>E18*(1+'Rhaniad y Ddeiliadaeth (C&amp;De-o)'!E$109)+(E$44*(-(50-$B18)*('Rhaniad y Ddeiliadaeth (C&amp;De-o)'!E$110/40)))</f>
        <v>16697.805278050913</v>
      </c>
      <c r="G18" s="57">
        <f>F18*(1+'Rhaniad y Ddeiliadaeth (C&amp;De-o)'!F$109)+(F$44*(-(50-$B18)*('Rhaniad y Ddeiliadaeth (C&amp;De-o)'!F$110/40)))</f>
        <v>17137.253479332805</v>
      </c>
      <c r="H18" s="58">
        <f>G18*(1+'Rhaniad y Ddeiliadaeth (C&amp;De-o)'!G$109)+(G$44*(-(50-$B18)*('Rhaniad y Ddeiliadaeth (C&amp;De-o)'!G$110/40)))</f>
        <v>17603.063110685496</v>
      </c>
      <c r="L18" s="62" t="str">
        <f t="shared" si="0"/>
        <v/>
      </c>
      <c r="M18" s="227"/>
      <c r="N18" s="14">
        <f t="shared" si="3"/>
        <v>1</v>
      </c>
      <c r="T18" s="1">
        <f t="shared" si="1"/>
        <v>24</v>
      </c>
      <c r="U18" s="4" t="str">
        <f t="shared" si="2"/>
        <v/>
      </c>
      <c r="V18" s="4" t="e">
        <f>IF($V$3=$M$3,M18,U18*(1+'Rhaniad y Ddeiliadaeth (C&amp;De-o)'!C$109)+(U$44*(-(50-$T18)*('Rhaniad y Ddeiliadaeth (C&amp;De-o)'!C$110/40))))</f>
        <v>#VALUE!</v>
      </c>
      <c r="W18" s="4" t="e">
        <f>V18*(1+'Rhaniad y Ddeiliadaeth (C&amp;De-o)'!D$109)+(V$44*(-(50-$T18)*('Rhaniad y Ddeiliadaeth (C&amp;De-o)'!D$110/40)))</f>
        <v>#VALUE!</v>
      </c>
      <c r="X18" s="4" t="e">
        <f>W18*(1+'Rhaniad y Ddeiliadaeth (C&amp;De-o)'!E$109)+(W$44*(-(50-$T18)*('Rhaniad y Ddeiliadaeth (C&amp;De-o)'!E$110/40)))</f>
        <v>#VALUE!</v>
      </c>
      <c r="Y18" s="4" t="e">
        <f>X18*(1+'Rhaniad y Ddeiliadaeth (C&amp;De-o)'!F$109)+(X$44*(-(50-$T18)*('Rhaniad y Ddeiliadaeth (C&amp;De-o)'!F$110/40)))</f>
        <v>#VALUE!</v>
      </c>
      <c r="Z18" s="4" t="e">
        <f>Y18*(1+'Rhaniad y Ddeiliadaeth (C&amp;De-o)'!G$109)+(Y$44*(-(50-$T18)*('Rhaniad y Ddeiliadaeth (C&amp;De-o)'!G$110/40)))</f>
        <v>#VALUE!</v>
      </c>
      <c r="AB18" s="1">
        <v>24</v>
      </c>
      <c r="AC18" s="4">
        <f>IF('Rhaniad y Ddeiliadaeth (Cymru)'!$D$8="Amcangyfrifon LlC",'Incwm (Canol. &amp; De-orll)'!D18,'Incwm (Canol. &amp; De-orll)'!V18)</f>
        <v>16092.012282392787</v>
      </c>
      <c r="AD18" s="4">
        <f>IF('Rhaniad y Ddeiliadaeth (Cymru)'!$D$8="Amcangyfrifon LlC",'Incwm (Canol. &amp; De-orll)'!E18,'Incwm (Canol. &amp; De-orll)'!W18)</f>
        <v>16336.02772873337</v>
      </c>
      <c r="AE18" s="4">
        <f>IF('Rhaniad y Ddeiliadaeth (Cymru)'!$D$8="Amcangyfrifon LlC",'Incwm (Canol. &amp; De-orll)'!F18,'Incwm (Canol. &amp; De-orll)'!X18)</f>
        <v>16697.805278050913</v>
      </c>
      <c r="AF18" s="4">
        <f>IF('Rhaniad y Ddeiliadaeth (Cymru)'!$D$8="Amcangyfrifon LlC",'Incwm (Canol. &amp; De-orll)'!G18,'Incwm (Canol. &amp; De-orll)'!Y18)</f>
        <v>17137.253479332805</v>
      </c>
      <c r="AG18" s="4">
        <f>IF('Rhaniad y Ddeiliadaeth (Cymru)'!$D$8="Amcangyfrifon LlC",'Incwm (Canol. &amp; De-orll)'!H18,'Incwm (Canol. &amp; De-orll)'!Z18)</f>
        <v>17603.063110685496</v>
      </c>
    </row>
    <row r="19" spans="2:33" x14ac:dyDescent="0.25">
      <c r="B19" s="20">
        <v>25</v>
      </c>
      <c r="C19" s="56">
        <v>15918.882799999999</v>
      </c>
      <c r="D19" s="57">
        <f>C19*(1+'Rhaniad y Ddeiliadaeth (C&amp;De-o)'!C$109)+(C$44*(-(50-$B19)*('Rhaniad y Ddeiliadaeth (C&amp;De-o)'!C$110/40)))</f>
        <v>16324.42588990639</v>
      </c>
      <c r="E19" s="57">
        <f>D19*(1+'Rhaniad y Ddeiliadaeth (C&amp;De-o)'!D$109)+(D$44*(-(50-$B19)*('Rhaniad y Ddeiliadaeth (C&amp;De-o)'!D$110/40)))</f>
        <v>16580.945021981592</v>
      </c>
      <c r="F19" s="57">
        <f>E19*(1+'Rhaniad y Ddeiliadaeth (C&amp;De-o)'!E$109)+(E$44*(-(50-$B19)*('Rhaniad y Ddeiliadaeth (C&amp;De-o)'!E$110/40)))</f>
        <v>16957.45249444299</v>
      </c>
      <c r="G19" s="57">
        <f>F19*(1+'Rhaniad y Ddeiliadaeth (C&amp;De-o)'!F$109)+(F$44*(-(50-$B19)*('Rhaniad y Ddeiliadaeth (C&amp;De-o)'!F$110/40)))</f>
        <v>17413.445478085196</v>
      </c>
      <c r="H19" s="58">
        <f>G19*(1+'Rhaniad y Ddeiliadaeth (C&amp;De-o)'!G$109)+(G$44*(-(50-$B19)*('Rhaniad y Ddeiliadaeth (C&amp;De-o)'!G$110/40)))</f>
        <v>17896.939603722796</v>
      </c>
      <c r="L19" s="62" t="str">
        <f t="shared" si="0"/>
        <v/>
      </c>
      <c r="M19" s="227"/>
      <c r="N19" s="14">
        <f t="shared" si="3"/>
        <v>1</v>
      </c>
      <c r="T19" s="1">
        <f t="shared" si="1"/>
        <v>25</v>
      </c>
      <c r="U19" s="4" t="str">
        <f t="shared" si="2"/>
        <v/>
      </c>
      <c r="V19" s="4" t="e">
        <f>IF($V$3=$M$3,M19,U19*(1+'Rhaniad y Ddeiliadaeth (C&amp;De-o)'!C$109)+(U$44*(-(50-$T19)*('Rhaniad y Ddeiliadaeth (C&amp;De-o)'!C$110/40))))</f>
        <v>#VALUE!</v>
      </c>
      <c r="W19" s="4" t="e">
        <f>V19*(1+'Rhaniad y Ddeiliadaeth (C&amp;De-o)'!D$109)+(V$44*(-(50-$T19)*('Rhaniad y Ddeiliadaeth (C&amp;De-o)'!D$110/40)))</f>
        <v>#VALUE!</v>
      </c>
      <c r="X19" s="4" t="e">
        <f>W19*(1+'Rhaniad y Ddeiliadaeth (C&amp;De-o)'!E$109)+(W$44*(-(50-$T19)*('Rhaniad y Ddeiliadaeth (C&amp;De-o)'!E$110/40)))</f>
        <v>#VALUE!</v>
      </c>
      <c r="Y19" s="4" t="e">
        <f>X19*(1+'Rhaniad y Ddeiliadaeth (C&amp;De-o)'!F$109)+(X$44*(-(50-$T19)*('Rhaniad y Ddeiliadaeth (C&amp;De-o)'!F$110/40)))</f>
        <v>#VALUE!</v>
      </c>
      <c r="Z19" s="4" t="e">
        <f>Y19*(1+'Rhaniad y Ddeiliadaeth (C&amp;De-o)'!G$109)+(Y$44*(-(50-$T19)*('Rhaniad y Ddeiliadaeth (C&amp;De-o)'!G$110/40)))</f>
        <v>#VALUE!</v>
      </c>
      <c r="AB19" s="1">
        <v>25</v>
      </c>
      <c r="AC19" s="4">
        <f>IF('Rhaniad y Ddeiliadaeth (Cymru)'!$D$8="Amcangyfrifon LlC",'Incwm (Canol. &amp; De-orll)'!D19,'Incwm (Canol. &amp; De-orll)'!V19)</f>
        <v>16324.42588990639</v>
      </c>
      <c r="AD19" s="4">
        <f>IF('Rhaniad y Ddeiliadaeth (Cymru)'!$D$8="Amcangyfrifon LlC",'Incwm (Canol. &amp; De-orll)'!E19,'Incwm (Canol. &amp; De-orll)'!W19)</f>
        <v>16580.945021981592</v>
      </c>
      <c r="AE19" s="4">
        <f>IF('Rhaniad y Ddeiliadaeth (Cymru)'!$D$8="Amcangyfrifon LlC",'Incwm (Canol. &amp; De-orll)'!F19,'Incwm (Canol. &amp; De-orll)'!X19)</f>
        <v>16957.45249444299</v>
      </c>
      <c r="AF19" s="4">
        <f>IF('Rhaniad y Ddeiliadaeth (Cymru)'!$D$8="Amcangyfrifon LlC",'Incwm (Canol. &amp; De-orll)'!G19,'Incwm (Canol. &amp; De-orll)'!Y19)</f>
        <v>17413.445478085196</v>
      </c>
      <c r="AG19" s="4">
        <f>IF('Rhaniad y Ddeiliadaeth (Cymru)'!$D$8="Amcangyfrifon LlC",'Incwm (Canol. &amp; De-orll)'!H19,'Incwm (Canol. &amp; De-orll)'!Z19)</f>
        <v>17896.939603722796</v>
      </c>
    </row>
    <row r="20" spans="2:33" x14ac:dyDescent="0.25">
      <c r="B20" s="20">
        <v>26</v>
      </c>
      <c r="C20" s="56">
        <v>16154.6</v>
      </c>
      <c r="D20" s="57">
        <f>C20*(1+'Rhaniad y Ddeiliadaeth (C&amp;De-o)'!C$109)+(C$44*(-(50-$B20)*('Rhaniad y Ddeiliadaeth (C&amp;De-o)'!C$110/40)))</f>
        <v>16574.787142775232</v>
      </c>
      <c r="E20" s="57">
        <f>D20*(1+'Rhaniad y Ddeiliadaeth (C&amp;De-o)'!D$109)+(D$44*(-(50-$B20)*('Rhaniad y Ddeiliadaeth (C&amp;De-o)'!D$110/40)))</f>
        <v>16844.271415985277</v>
      </c>
      <c r="F20" s="57">
        <f>E20*(1+'Rhaniad y Ddeiliadaeth (C&amp;De-o)'!E$109)+(E$44*(-(50-$B20)*('Rhaniad y Ddeiliadaeth (C&amp;De-o)'!E$110/40)))</f>
        <v>17236.112685535249</v>
      </c>
      <c r="G20" s="57">
        <f>F20*(1+'Rhaniad y Ddeiliadaeth (C&amp;De-o)'!F$109)+(F$44*(-(50-$B20)*('Rhaniad y Ddeiliadaeth (C&amp;De-o)'!F$110/40)))</f>
        <v>17709.355563914247</v>
      </c>
      <c r="H20" s="58">
        <f>G20*(1+'Rhaniad y Ddeiliadaeth (C&amp;De-o)'!G$109)+(G$44*(-(50-$B20)*('Rhaniad y Ddeiliadaeth (C&amp;De-o)'!G$110/40)))</f>
        <v>18211.28469806549</v>
      </c>
      <c r="L20" s="62" t="str">
        <f t="shared" si="0"/>
        <v/>
      </c>
      <c r="M20" s="227"/>
      <c r="N20" s="14">
        <f t="shared" si="3"/>
        <v>1</v>
      </c>
      <c r="T20" s="1">
        <f t="shared" si="1"/>
        <v>26</v>
      </c>
      <c r="U20" s="4" t="str">
        <f t="shared" si="2"/>
        <v/>
      </c>
      <c r="V20" s="4" t="e">
        <f>IF($V$3=$M$3,M20,U20*(1+'Rhaniad y Ddeiliadaeth (C&amp;De-o)'!C$109)+(U$44*(-(50-$T20)*('Rhaniad y Ddeiliadaeth (C&amp;De-o)'!C$110/40))))</f>
        <v>#VALUE!</v>
      </c>
      <c r="W20" s="4" t="e">
        <f>V20*(1+'Rhaniad y Ddeiliadaeth (C&amp;De-o)'!D$109)+(V$44*(-(50-$T20)*('Rhaniad y Ddeiliadaeth (C&amp;De-o)'!D$110/40)))</f>
        <v>#VALUE!</v>
      </c>
      <c r="X20" s="4" t="e">
        <f>W20*(1+'Rhaniad y Ddeiliadaeth (C&amp;De-o)'!E$109)+(W$44*(-(50-$T20)*('Rhaniad y Ddeiliadaeth (C&amp;De-o)'!E$110/40)))</f>
        <v>#VALUE!</v>
      </c>
      <c r="Y20" s="4" t="e">
        <f>X20*(1+'Rhaniad y Ddeiliadaeth (C&amp;De-o)'!F$109)+(X$44*(-(50-$T20)*('Rhaniad y Ddeiliadaeth (C&amp;De-o)'!F$110/40)))</f>
        <v>#VALUE!</v>
      </c>
      <c r="Z20" s="4" t="e">
        <f>Y20*(1+'Rhaniad y Ddeiliadaeth (C&amp;De-o)'!G$109)+(Y$44*(-(50-$T20)*('Rhaniad y Ddeiliadaeth (C&amp;De-o)'!G$110/40)))</f>
        <v>#VALUE!</v>
      </c>
      <c r="AB20" s="1">
        <v>26</v>
      </c>
      <c r="AC20" s="4">
        <f>IF('Rhaniad y Ddeiliadaeth (Cymru)'!$D$8="Amcangyfrifon LlC",'Incwm (Canol. &amp; De-orll)'!D20,'Incwm (Canol. &amp; De-orll)'!V20)</f>
        <v>16574.787142775232</v>
      </c>
      <c r="AD20" s="4">
        <f>IF('Rhaniad y Ddeiliadaeth (Cymru)'!$D$8="Amcangyfrifon LlC",'Incwm (Canol. &amp; De-orll)'!E20,'Incwm (Canol. &amp; De-orll)'!W20)</f>
        <v>16844.271415985277</v>
      </c>
      <c r="AE20" s="4">
        <f>IF('Rhaniad y Ddeiliadaeth (Cymru)'!$D$8="Amcangyfrifon LlC",'Incwm (Canol. &amp; De-orll)'!F20,'Incwm (Canol. &amp; De-orll)'!X20)</f>
        <v>17236.112685535249</v>
      </c>
      <c r="AF20" s="4">
        <f>IF('Rhaniad y Ddeiliadaeth (Cymru)'!$D$8="Amcangyfrifon LlC",'Incwm (Canol. &amp; De-orll)'!G20,'Incwm (Canol. &amp; De-orll)'!Y20)</f>
        <v>17709.355563914247</v>
      </c>
      <c r="AG20" s="4">
        <f>IF('Rhaniad y Ddeiliadaeth (Cymru)'!$D$8="Amcangyfrifon LlC",'Incwm (Canol. &amp; De-orll)'!H20,'Incwm (Canol. &amp; De-orll)'!Z20)</f>
        <v>18211.28469806549</v>
      </c>
    </row>
    <row r="21" spans="2:33" x14ac:dyDescent="0.25">
      <c r="B21" s="20">
        <v>27</v>
      </c>
      <c r="C21" s="56">
        <v>16447.5</v>
      </c>
      <c r="D21" s="57">
        <f>C21*(1+'Rhaniad y Ddeiliadaeth (C&amp;De-o)'!C$109)+(C$44*(-(50-$B21)*('Rhaniad y Ddeiliadaeth (C&amp;De-o)'!C$110/40)))</f>
        <v>16884.354172297404</v>
      </c>
      <c r="E21" s="57">
        <f>D21*(1+'Rhaniad y Ddeiliadaeth (C&amp;De-o)'!D$109)+(D$44*(-(50-$B21)*('Rhaniad y Ddeiliadaeth (C&amp;De-o)'!D$110/40)))</f>
        <v>17168.325837880289</v>
      </c>
      <c r="F21" s="57">
        <f>E21*(1+'Rhaniad y Ddeiliadaeth (C&amp;De-o)'!E$109)+(E$44*(-(50-$B21)*('Rhaniad y Ddeiliadaeth (C&amp;De-o)'!E$110/40)))</f>
        <v>17577.492966719186</v>
      </c>
      <c r="G21" s="57">
        <f>F21*(1+'Rhaniad y Ddeiliadaeth (C&amp;De-o)'!F$109)+(F$44*(-(50-$B21)*('Rhaniad y Ddeiliadaeth (C&amp;De-o)'!F$110/40)))</f>
        <v>18070.311767848747</v>
      </c>
      <c r="H21" s="58">
        <f>G21*(1+'Rhaniad y Ddeiliadaeth (C&amp;De-o)'!G$109)+(G$44*(-(50-$B21)*('Rhaniad y Ddeiliadaeth (C&amp;De-o)'!G$110/40)))</f>
        <v>18593.151710370508</v>
      </c>
      <c r="L21" s="62" t="str">
        <f t="shared" si="0"/>
        <v/>
      </c>
      <c r="M21" s="227"/>
      <c r="N21" s="14">
        <f t="shared" si="3"/>
        <v>1</v>
      </c>
      <c r="T21" s="1">
        <f t="shared" si="1"/>
        <v>27</v>
      </c>
      <c r="U21" s="4" t="str">
        <f t="shared" si="2"/>
        <v/>
      </c>
      <c r="V21" s="4" t="e">
        <f>IF($V$3=$M$3,M21,U21*(1+'Rhaniad y Ddeiliadaeth (C&amp;De-o)'!C$109)+(U$44*(-(50-$T21)*('Rhaniad y Ddeiliadaeth (C&amp;De-o)'!C$110/40))))</f>
        <v>#VALUE!</v>
      </c>
      <c r="W21" s="4" t="e">
        <f>V21*(1+'Rhaniad y Ddeiliadaeth (C&amp;De-o)'!D$109)+(V$44*(-(50-$T21)*('Rhaniad y Ddeiliadaeth (C&amp;De-o)'!D$110/40)))</f>
        <v>#VALUE!</v>
      </c>
      <c r="X21" s="4" t="e">
        <f>W21*(1+'Rhaniad y Ddeiliadaeth (C&amp;De-o)'!E$109)+(W$44*(-(50-$T21)*('Rhaniad y Ddeiliadaeth (C&amp;De-o)'!E$110/40)))</f>
        <v>#VALUE!</v>
      </c>
      <c r="Y21" s="4" t="e">
        <f>X21*(1+'Rhaniad y Ddeiliadaeth (C&amp;De-o)'!F$109)+(X$44*(-(50-$T21)*('Rhaniad y Ddeiliadaeth (C&amp;De-o)'!F$110/40)))</f>
        <v>#VALUE!</v>
      </c>
      <c r="Z21" s="4" t="e">
        <f>Y21*(1+'Rhaniad y Ddeiliadaeth (C&amp;De-o)'!G$109)+(Y$44*(-(50-$T21)*('Rhaniad y Ddeiliadaeth (C&amp;De-o)'!G$110/40)))</f>
        <v>#VALUE!</v>
      </c>
      <c r="AB21" s="1">
        <v>27</v>
      </c>
      <c r="AC21" s="4">
        <f>IF('Rhaniad y Ddeiliadaeth (Cymru)'!$D$8="Amcangyfrifon LlC",'Incwm (Canol. &amp; De-orll)'!D21,'Incwm (Canol. &amp; De-orll)'!V21)</f>
        <v>16884.354172297404</v>
      </c>
      <c r="AD21" s="4">
        <f>IF('Rhaniad y Ddeiliadaeth (Cymru)'!$D$8="Amcangyfrifon LlC",'Incwm (Canol. &amp; De-orll)'!E21,'Incwm (Canol. &amp; De-orll)'!W21)</f>
        <v>17168.325837880289</v>
      </c>
      <c r="AE21" s="4">
        <f>IF('Rhaniad y Ddeiliadaeth (Cymru)'!$D$8="Amcangyfrifon LlC",'Incwm (Canol. &amp; De-orll)'!F21,'Incwm (Canol. &amp; De-orll)'!X21)</f>
        <v>17577.492966719186</v>
      </c>
      <c r="AF21" s="4">
        <f>IF('Rhaniad y Ddeiliadaeth (Cymru)'!$D$8="Amcangyfrifon LlC",'Incwm (Canol. &amp; De-orll)'!G21,'Incwm (Canol. &amp; De-orll)'!Y21)</f>
        <v>18070.311767848747</v>
      </c>
      <c r="AG21" s="4">
        <f>IF('Rhaniad y Ddeiliadaeth (Cymru)'!$D$8="Amcangyfrifon LlC",'Incwm (Canol. &amp; De-orll)'!H21,'Incwm (Canol. &amp; De-orll)'!Z21)</f>
        <v>18593.151710370508</v>
      </c>
    </row>
    <row r="22" spans="2:33" x14ac:dyDescent="0.25">
      <c r="B22" s="20">
        <v>28</v>
      </c>
      <c r="C22" s="56">
        <v>16793.2</v>
      </c>
      <c r="D22" s="57">
        <f>C22*(1+'Rhaniad y Ddeiliadaeth (C&amp;De-o)'!C$109)+(C$44*(-(50-$B22)*('Rhaniad y Ddeiliadaeth (C&amp;De-o)'!C$110/40)))</f>
        <v>17248.589126567855</v>
      </c>
      <c r="E22" s="57">
        <f>D22*(1+'Rhaniad y Ddeiliadaeth (C&amp;De-o)'!D$109)+(D$44*(-(50-$B22)*('Rhaniad y Ddeiliadaeth (C&amp;De-o)'!D$110/40)))</f>
        <v>17548.453762168716</v>
      </c>
      <c r="F22" s="57">
        <f>E22*(1+'Rhaniad y Ddeiliadaeth (C&amp;De-o)'!E$109)+(E$44*(-(50-$B22)*('Rhaniad y Ddeiliadaeth (C&amp;De-o)'!E$110/40)))</f>
        <v>17976.786130043234</v>
      </c>
      <c r="G22" s="57">
        <f>F22*(1+'Rhaniad y Ddeiliadaeth (C&amp;De-o)'!F$109)+(F$44*(-(50-$B22)*('Rhaniad y Ddeiliadaeth (C&amp;De-o)'!F$110/40)))</f>
        <v>18491.328602531805</v>
      </c>
      <c r="H22" s="58">
        <f>G22*(1+'Rhaniad y Ddeiliadaeth (C&amp;De-o)'!G$109)+(G$44*(-(50-$B22)*('Rhaniad y Ddeiliadaeth (C&amp;De-o)'!G$110/40)))</f>
        <v>19037.365394549088</v>
      </c>
      <c r="L22" s="62" t="str">
        <f t="shared" si="0"/>
        <v/>
      </c>
      <c r="M22" s="227"/>
      <c r="N22" s="14">
        <f t="shared" si="3"/>
        <v>1</v>
      </c>
      <c r="T22" s="1">
        <f t="shared" si="1"/>
        <v>28</v>
      </c>
      <c r="U22" s="4" t="str">
        <f t="shared" si="2"/>
        <v/>
      </c>
      <c r="V22" s="4" t="e">
        <f>IF($V$3=$M$3,M22,U22*(1+'Rhaniad y Ddeiliadaeth (C&amp;De-o)'!C$109)+(U$44*(-(50-$T22)*('Rhaniad y Ddeiliadaeth (C&amp;De-o)'!C$110/40))))</f>
        <v>#VALUE!</v>
      </c>
      <c r="W22" s="4" t="e">
        <f>V22*(1+'Rhaniad y Ddeiliadaeth (C&amp;De-o)'!D$109)+(V$44*(-(50-$T22)*('Rhaniad y Ddeiliadaeth (C&amp;De-o)'!D$110/40)))</f>
        <v>#VALUE!</v>
      </c>
      <c r="X22" s="4" t="e">
        <f>W22*(1+'Rhaniad y Ddeiliadaeth (C&amp;De-o)'!E$109)+(W$44*(-(50-$T22)*('Rhaniad y Ddeiliadaeth (C&amp;De-o)'!E$110/40)))</f>
        <v>#VALUE!</v>
      </c>
      <c r="Y22" s="4" t="e">
        <f>X22*(1+'Rhaniad y Ddeiliadaeth (C&amp;De-o)'!F$109)+(X$44*(-(50-$T22)*('Rhaniad y Ddeiliadaeth (C&amp;De-o)'!F$110/40)))</f>
        <v>#VALUE!</v>
      </c>
      <c r="Z22" s="4" t="e">
        <f>Y22*(1+'Rhaniad y Ddeiliadaeth (C&amp;De-o)'!G$109)+(Y$44*(-(50-$T22)*('Rhaniad y Ddeiliadaeth (C&amp;De-o)'!G$110/40)))</f>
        <v>#VALUE!</v>
      </c>
      <c r="AB22" s="1">
        <v>28</v>
      </c>
      <c r="AC22" s="4">
        <f>IF('Rhaniad y Ddeiliadaeth (Cymru)'!$D$8="Amcangyfrifon LlC",'Incwm (Canol. &amp; De-orll)'!D22,'Incwm (Canol. &amp; De-orll)'!V22)</f>
        <v>17248.589126567855</v>
      </c>
      <c r="AD22" s="4">
        <f>IF('Rhaniad y Ddeiliadaeth (Cymru)'!$D$8="Amcangyfrifon LlC",'Incwm (Canol. &amp; De-orll)'!E22,'Incwm (Canol. &amp; De-orll)'!W22)</f>
        <v>17548.453762168716</v>
      </c>
      <c r="AE22" s="4">
        <f>IF('Rhaniad y Ddeiliadaeth (Cymru)'!$D$8="Amcangyfrifon LlC",'Incwm (Canol. &amp; De-orll)'!F22,'Incwm (Canol. &amp; De-orll)'!X22)</f>
        <v>17976.786130043234</v>
      </c>
      <c r="AF22" s="4">
        <f>IF('Rhaniad y Ddeiliadaeth (Cymru)'!$D$8="Amcangyfrifon LlC",'Incwm (Canol. &amp; De-orll)'!G22,'Incwm (Canol. &amp; De-orll)'!Y22)</f>
        <v>18491.328602531805</v>
      </c>
      <c r="AG22" s="4">
        <f>IF('Rhaniad y Ddeiliadaeth (Cymru)'!$D$8="Amcangyfrifon LlC",'Incwm (Canol. &amp; De-orll)'!H22,'Incwm (Canol. &amp; De-orll)'!Z22)</f>
        <v>19037.365394549088</v>
      </c>
    </row>
    <row r="23" spans="2:33" x14ac:dyDescent="0.25">
      <c r="B23" s="20">
        <v>29</v>
      </c>
      <c r="C23" s="56">
        <v>17083.75</v>
      </c>
      <c r="D23" s="57">
        <f>C23*(1+'Rhaniad y Ddeiliadaeth (C&amp;De-o)'!C$109)+(C$44*(-(50-$B23)*('Rhaniad y Ddeiliadaeth (C&amp;De-o)'!C$110/40)))</f>
        <v>17555.72301928778</v>
      </c>
      <c r="E23" s="57">
        <f>D23*(1+'Rhaniad y Ddeiliadaeth (C&amp;De-o)'!D$109)+(D$44*(-(50-$B23)*('Rhaniad y Ddeiliadaeth (C&amp;De-o)'!D$110/40)))</f>
        <v>17870.01248840796</v>
      </c>
      <c r="F23" s="57">
        <f>E23*(1+'Rhaniad y Ddeiliadaeth (C&amp;De-o)'!E$109)+(E$44*(-(50-$B23)*('Rhaniad y Ddeiliadaeth (C&amp;De-o)'!E$110/40)))</f>
        <v>18315.588849237985</v>
      </c>
      <c r="G23" s="57">
        <f>F23*(1+'Rhaniad y Ddeiliadaeth (C&amp;De-o)'!F$109)+(F$44*(-(50-$B23)*('Rhaniad y Ddeiliadaeth (C&amp;De-o)'!F$110/40)))</f>
        <v>18849.611653393218</v>
      </c>
      <c r="H23" s="58">
        <f>G23*(1+'Rhaniad y Ddeiliadaeth (C&amp;De-o)'!G$109)+(G$44*(-(50-$B23)*('Rhaniad y Ddeiliadaeth (C&amp;De-o)'!G$110/40)))</f>
        <v>19416.457507632458</v>
      </c>
      <c r="L23" s="62" t="str">
        <f t="shared" si="0"/>
        <v/>
      </c>
      <c r="M23" s="227"/>
      <c r="N23" s="14">
        <f t="shared" si="3"/>
        <v>1</v>
      </c>
      <c r="T23" s="1">
        <f t="shared" si="1"/>
        <v>29</v>
      </c>
      <c r="U23" s="4" t="str">
        <f t="shared" si="2"/>
        <v/>
      </c>
      <c r="V23" s="4" t="e">
        <f>IF($V$3=$M$3,M23,U23*(1+'Rhaniad y Ddeiliadaeth (C&amp;De-o)'!C$109)+(U$44*(-(50-$T23)*('Rhaniad y Ddeiliadaeth (C&amp;De-o)'!C$110/40))))</f>
        <v>#VALUE!</v>
      </c>
      <c r="W23" s="4" t="e">
        <f>V23*(1+'Rhaniad y Ddeiliadaeth (C&amp;De-o)'!D$109)+(V$44*(-(50-$T23)*('Rhaniad y Ddeiliadaeth (C&amp;De-o)'!D$110/40)))</f>
        <v>#VALUE!</v>
      </c>
      <c r="X23" s="4" t="e">
        <f>W23*(1+'Rhaniad y Ddeiliadaeth (C&amp;De-o)'!E$109)+(W$44*(-(50-$T23)*('Rhaniad y Ddeiliadaeth (C&amp;De-o)'!E$110/40)))</f>
        <v>#VALUE!</v>
      </c>
      <c r="Y23" s="4" t="e">
        <f>X23*(1+'Rhaniad y Ddeiliadaeth (C&amp;De-o)'!F$109)+(X$44*(-(50-$T23)*('Rhaniad y Ddeiliadaeth (C&amp;De-o)'!F$110/40)))</f>
        <v>#VALUE!</v>
      </c>
      <c r="Z23" s="4" t="e">
        <f>Y23*(1+'Rhaniad y Ddeiliadaeth (C&amp;De-o)'!G$109)+(Y$44*(-(50-$T23)*('Rhaniad y Ddeiliadaeth (C&amp;De-o)'!G$110/40)))</f>
        <v>#VALUE!</v>
      </c>
      <c r="AB23" s="1">
        <v>29</v>
      </c>
      <c r="AC23" s="4">
        <f>IF('Rhaniad y Ddeiliadaeth (Cymru)'!$D$8="Amcangyfrifon LlC",'Incwm (Canol. &amp; De-orll)'!D23,'Incwm (Canol. &amp; De-orll)'!V23)</f>
        <v>17555.72301928778</v>
      </c>
      <c r="AD23" s="4">
        <f>IF('Rhaniad y Ddeiliadaeth (Cymru)'!$D$8="Amcangyfrifon LlC",'Incwm (Canol. &amp; De-orll)'!E23,'Incwm (Canol. &amp; De-orll)'!W23)</f>
        <v>17870.01248840796</v>
      </c>
      <c r="AE23" s="4">
        <f>IF('Rhaniad y Ddeiliadaeth (Cymru)'!$D$8="Amcangyfrifon LlC",'Incwm (Canol. &amp; De-orll)'!F23,'Incwm (Canol. &amp; De-orll)'!X23)</f>
        <v>18315.588849237985</v>
      </c>
      <c r="AF23" s="4">
        <f>IF('Rhaniad y Ddeiliadaeth (Cymru)'!$D$8="Amcangyfrifon LlC",'Incwm (Canol. &amp; De-orll)'!G23,'Incwm (Canol. &amp; De-orll)'!Y23)</f>
        <v>18849.611653393218</v>
      </c>
      <c r="AG23" s="4">
        <f>IF('Rhaniad y Ddeiliadaeth (Cymru)'!$D$8="Amcangyfrifon LlC",'Incwm (Canol. &amp; De-orll)'!H23,'Incwm (Canol. &amp; De-orll)'!Z23)</f>
        <v>19416.457507632458</v>
      </c>
    </row>
    <row r="24" spans="2:33" x14ac:dyDescent="0.25">
      <c r="B24" s="20">
        <v>30</v>
      </c>
      <c r="C24" s="56">
        <v>17419</v>
      </c>
      <c r="D24" s="57">
        <f>C24*(1+'Rhaniad y Ddeiliadaeth (C&amp;De-o)'!C$109)+(C$44*(-(50-$B24)*('Rhaniad y Ddeiliadaeth (C&amp;De-o)'!C$110/40)))</f>
        <v>17909.138280118466</v>
      </c>
      <c r="E24" s="57">
        <f>D24*(1+'Rhaniad y Ddeiliadaeth (C&amp;De-o)'!D$109)+(D$44*(-(50-$B24)*('Rhaniad y Ddeiliadaeth (C&amp;De-o)'!D$110/40)))</f>
        <v>18239.042532014351</v>
      </c>
      <c r="F24" s="57">
        <f>E24*(1+'Rhaniad y Ddeiliadaeth (C&amp;De-o)'!E$109)+(E$44*(-(50-$B24)*('Rhaniad y Ddeiliadaeth (C&amp;De-o)'!E$110/40)))</f>
        <v>18703.420087971797</v>
      </c>
      <c r="G24" s="57">
        <f>F24*(1+'Rhaniad y Ddeiliadaeth (C&amp;De-o)'!F$109)+(F$44*(-(50-$B24)*('Rhaniad y Ddeiliadaeth (C&amp;De-o)'!F$110/40)))</f>
        <v>19258.741488240616</v>
      </c>
      <c r="H24" s="58">
        <f>G24*(1+'Rhaniad y Ddeiliadaeth (C&amp;De-o)'!G$109)+(G$44*(-(50-$B24)*('Rhaniad y Ddeiliadaeth (C&amp;De-o)'!G$110/40)))</f>
        <v>19848.331746336051</v>
      </c>
      <c r="L24" s="62" t="str">
        <f t="shared" si="0"/>
        <v/>
      </c>
      <c r="M24" s="227"/>
      <c r="N24" s="14">
        <f t="shared" si="3"/>
        <v>1</v>
      </c>
      <c r="T24" s="1">
        <f t="shared" si="1"/>
        <v>30</v>
      </c>
      <c r="U24" s="4" t="str">
        <f t="shared" si="2"/>
        <v/>
      </c>
      <c r="V24" s="4" t="e">
        <f>IF($V$3=$M$3,M24,U24*(1+'Rhaniad y Ddeiliadaeth (C&amp;De-o)'!C$109)+(U$44*(-(50-$T24)*('Rhaniad y Ddeiliadaeth (C&amp;De-o)'!C$110/40))))</f>
        <v>#VALUE!</v>
      </c>
      <c r="W24" s="4" t="e">
        <f>V24*(1+'Rhaniad y Ddeiliadaeth (C&amp;De-o)'!D$109)+(V$44*(-(50-$T24)*('Rhaniad y Ddeiliadaeth (C&amp;De-o)'!D$110/40)))</f>
        <v>#VALUE!</v>
      </c>
      <c r="X24" s="4" t="e">
        <f>W24*(1+'Rhaniad y Ddeiliadaeth (C&amp;De-o)'!E$109)+(W$44*(-(50-$T24)*('Rhaniad y Ddeiliadaeth (C&amp;De-o)'!E$110/40)))</f>
        <v>#VALUE!</v>
      </c>
      <c r="Y24" s="4" t="e">
        <f>X24*(1+'Rhaniad y Ddeiliadaeth (C&amp;De-o)'!F$109)+(X$44*(-(50-$T24)*('Rhaniad y Ddeiliadaeth (C&amp;De-o)'!F$110/40)))</f>
        <v>#VALUE!</v>
      </c>
      <c r="Z24" s="4" t="e">
        <f>Y24*(1+'Rhaniad y Ddeiliadaeth (C&amp;De-o)'!G$109)+(Y$44*(-(50-$T24)*('Rhaniad y Ddeiliadaeth (C&amp;De-o)'!G$110/40)))</f>
        <v>#VALUE!</v>
      </c>
      <c r="AB24" s="1">
        <v>30</v>
      </c>
      <c r="AC24" s="4">
        <f>IF('Rhaniad y Ddeiliadaeth (Cymru)'!$D$8="Amcangyfrifon LlC",'Incwm (Canol. &amp; De-orll)'!D24,'Incwm (Canol. &amp; De-orll)'!V24)</f>
        <v>17909.138280118466</v>
      </c>
      <c r="AD24" s="4">
        <f>IF('Rhaniad y Ddeiliadaeth (Cymru)'!$D$8="Amcangyfrifon LlC",'Incwm (Canol. &amp; De-orll)'!E24,'Incwm (Canol. &amp; De-orll)'!W24)</f>
        <v>18239.042532014351</v>
      </c>
      <c r="AE24" s="4">
        <f>IF('Rhaniad y Ddeiliadaeth (Cymru)'!$D$8="Amcangyfrifon LlC",'Incwm (Canol. &amp; De-orll)'!F24,'Incwm (Canol. &amp; De-orll)'!X24)</f>
        <v>18703.420087971797</v>
      </c>
      <c r="AF24" s="4">
        <f>IF('Rhaniad y Ddeiliadaeth (Cymru)'!$D$8="Amcangyfrifon LlC",'Incwm (Canol. &amp; De-orll)'!G24,'Incwm (Canol. &amp; De-orll)'!Y24)</f>
        <v>19258.741488240616</v>
      </c>
      <c r="AG24" s="4">
        <f>IF('Rhaniad y Ddeiliadaeth (Cymru)'!$D$8="Amcangyfrifon LlC",'Incwm (Canol. &amp; De-orll)'!H24,'Incwm (Canol. &amp; De-orll)'!Z24)</f>
        <v>19848.331746336051</v>
      </c>
    </row>
    <row r="25" spans="2:33" x14ac:dyDescent="0.25">
      <c r="B25" s="20">
        <v>31</v>
      </c>
      <c r="C25" s="56">
        <v>17655.5</v>
      </c>
      <c r="D25" s="57">
        <f>C25*(1+'Rhaniad y Ddeiliadaeth (C&amp;De-o)'!C$109)+(C$44*(-(50-$B25)*('Rhaniad y Ddeiliadaeth (C&amp;De-o)'!C$110/40)))</f>
        <v>18160.310026386796</v>
      </c>
      <c r="E25" s="57">
        <f>D25*(1+'Rhaniad y Ddeiliadaeth (C&amp;De-o)'!D$109)+(D$44*(-(50-$B25)*('Rhaniad y Ddeiliadaeth (C&amp;De-o)'!D$110/40)))</f>
        <v>18503.200258170949</v>
      </c>
      <c r="F25" s="57">
        <f>E25*(1+'Rhaniad y Ddeiliadaeth (C&amp;De-o)'!E$109)+(E$44*(-(50-$B25)*('Rhaniad y Ddeiliadaeth (C&amp;De-o)'!E$110/40)))</f>
        <v>18982.938881415179</v>
      </c>
      <c r="G25" s="57">
        <f>F25*(1+'Rhaniad y Ddeiliadaeth (C&amp;De-o)'!F$109)+(F$44*(-(50-$B25)*('Rhaniad y Ddeiliadaeth (C&amp;De-o)'!F$110/40)))</f>
        <v>19555.542018420994</v>
      </c>
      <c r="H25" s="58">
        <f>G25*(1+'Rhaniad y Ddeiliadaeth (C&amp;De-o)'!G$109)+(G$44*(-(50-$B25)*('Rhaniad y Ddeiliadaeth (C&amp;De-o)'!G$110/40)))</f>
        <v>20163.601177321605</v>
      </c>
      <c r="L25" s="62" t="str">
        <f t="shared" si="0"/>
        <v/>
      </c>
      <c r="M25" s="227"/>
      <c r="N25" s="14">
        <f t="shared" si="3"/>
        <v>1</v>
      </c>
      <c r="T25" s="1">
        <f t="shared" si="1"/>
        <v>31</v>
      </c>
      <c r="U25" s="4" t="str">
        <f t="shared" si="2"/>
        <v/>
      </c>
      <c r="V25" s="4" t="e">
        <f>IF($V$3=$M$3,M25,U25*(1+'Rhaniad y Ddeiliadaeth (C&amp;De-o)'!C$109)+(U$44*(-(50-$T25)*('Rhaniad y Ddeiliadaeth (C&amp;De-o)'!C$110/40))))</f>
        <v>#VALUE!</v>
      </c>
      <c r="W25" s="4" t="e">
        <f>V25*(1+'Rhaniad y Ddeiliadaeth (C&amp;De-o)'!D$109)+(V$44*(-(50-$T25)*('Rhaniad y Ddeiliadaeth (C&amp;De-o)'!D$110/40)))</f>
        <v>#VALUE!</v>
      </c>
      <c r="X25" s="4" t="e">
        <f>W25*(1+'Rhaniad y Ddeiliadaeth (C&amp;De-o)'!E$109)+(W$44*(-(50-$T25)*('Rhaniad y Ddeiliadaeth (C&amp;De-o)'!E$110/40)))</f>
        <v>#VALUE!</v>
      </c>
      <c r="Y25" s="4" t="e">
        <f>X25*(1+'Rhaniad y Ddeiliadaeth (C&amp;De-o)'!F$109)+(X$44*(-(50-$T25)*('Rhaniad y Ddeiliadaeth (C&amp;De-o)'!F$110/40)))</f>
        <v>#VALUE!</v>
      </c>
      <c r="Z25" s="4" t="e">
        <f>Y25*(1+'Rhaniad y Ddeiliadaeth (C&amp;De-o)'!G$109)+(Y$44*(-(50-$T25)*('Rhaniad y Ddeiliadaeth (C&amp;De-o)'!G$110/40)))</f>
        <v>#VALUE!</v>
      </c>
      <c r="AB25" s="1">
        <v>31</v>
      </c>
      <c r="AC25" s="4">
        <f>IF('Rhaniad y Ddeiliadaeth (Cymru)'!$D$8="Amcangyfrifon LlC",'Incwm (Canol. &amp; De-orll)'!D25,'Incwm (Canol. &amp; De-orll)'!V25)</f>
        <v>18160.310026386796</v>
      </c>
      <c r="AD25" s="4">
        <f>IF('Rhaniad y Ddeiliadaeth (Cymru)'!$D$8="Amcangyfrifon LlC",'Incwm (Canol. &amp; De-orll)'!E25,'Incwm (Canol. &amp; De-orll)'!W25)</f>
        <v>18503.200258170949</v>
      </c>
      <c r="AE25" s="4">
        <f>IF('Rhaniad y Ddeiliadaeth (Cymru)'!$D$8="Amcangyfrifon LlC",'Incwm (Canol. &amp; De-orll)'!F25,'Incwm (Canol. &amp; De-orll)'!X25)</f>
        <v>18982.938881415179</v>
      </c>
      <c r="AF25" s="4">
        <f>IF('Rhaniad y Ddeiliadaeth (Cymru)'!$D$8="Amcangyfrifon LlC",'Incwm (Canol. &amp; De-orll)'!G25,'Incwm (Canol. &amp; De-orll)'!Y25)</f>
        <v>19555.542018420994</v>
      </c>
      <c r="AG25" s="4">
        <f>IF('Rhaniad y Ddeiliadaeth (Cymru)'!$D$8="Amcangyfrifon LlC",'Incwm (Canol. &amp; De-orll)'!H25,'Incwm (Canol. &amp; De-orll)'!Z25)</f>
        <v>20163.601177321605</v>
      </c>
    </row>
    <row r="26" spans="2:33" x14ac:dyDescent="0.25">
      <c r="B26" s="20">
        <v>32</v>
      </c>
      <c r="C26" s="56">
        <v>18080</v>
      </c>
      <c r="D26" s="57">
        <f>C26*(1+'Rhaniad y Ddeiliadaeth (C&amp;De-o)'!C$109)+(C$44*(-(50-$B26)*('Rhaniad y Ddeiliadaeth (C&amp;De-o)'!C$110/40)))</f>
        <v>18606.132716834596</v>
      </c>
      <c r="E26" s="57">
        <f>D26*(1+'Rhaniad y Ddeiliadaeth (C&amp;De-o)'!D$109)+(D$44*(-(50-$B26)*('Rhaniad y Ddeiliadaeth (C&amp;De-o)'!D$110/40)))</f>
        <v>18967.013636788935</v>
      </c>
      <c r="F26" s="57">
        <f>E26*(1+'Rhaniad y Ddeiliadaeth (C&amp;De-o)'!E$109)+(E$44*(-(50-$B26)*('Rhaniad y Ddeiliadaeth (C&amp;De-o)'!E$110/40)))</f>
        <v>19468.662633993768</v>
      </c>
      <c r="G26" s="57">
        <f>F26*(1+'Rhaniad y Ddeiliadaeth (C&amp;De-o)'!F$109)+(F$44*(-(50-$B26)*('Rhaniad y Ddeiliadaeth (C&amp;De-o)'!F$110/40)))</f>
        <v>20066.194794448467</v>
      </c>
      <c r="H26" s="58">
        <f>G26*(1+'Rhaniad y Ddeiliadaeth (C&amp;De-o)'!G$109)+(G$44*(-(50-$B26)*('Rhaniad y Ddeiliadaeth (C&amp;De-o)'!G$110/40)))</f>
        <v>20700.86254603873</v>
      </c>
      <c r="L26" s="62" t="str">
        <f t="shared" si="0"/>
        <v/>
      </c>
      <c r="M26" s="227"/>
      <c r="N26" s="14">
        <f t="shared" si="3"/>
        <v>1</v>
      </c>
      <c r="T26" s="1">
        <f t="shared" si="1"/>
        <v>32</v>
      </c>
      <c r="U26" s="4" t="str">
        <f t="shared" si="2"/>
        <v/>
      </c>
      <c r="V26" s="4" t="e">
        <f>IF($V$3=$M$3,M26,U26*(1+'Rhaniad y Ddeiliadaeth (C&amp;De-o)'!C$109)+(U$44*(-(50-$T26)*('Rhaniad y Ddeiliadaeth (C&amp;De-o)'!C$110/40))))</f>
        <v>#VALUE!</v>
      </c>
      <c r="W26" s="4" t="e">
        <f>V26*(1+'Rhaniad y Ddeiliadaeth (C&amp;De-o)'!D$109)+(V$44*(-(50-$T26)*('Rhaniad y Ddeiliadaeth (C&amp;De-o)'!D$110/40)))</f>
        <v>#VALUE!</v>
      </c>
      <c r="X26" s="4" t="e">
        <f>W26*(1+'Rhaniad y Ddeiliadaeth (C&amp;De-o)'!E$109)+(W$44*(-(50-$T26)*('Rhaniad y Ddeiliadaeth (C&amp;De-o)'!E$110/40)))</f>
        <v>#VALUE!</v>
      </c>
      <c r="Y26" s="4" t="e">
        <f>X26*(1+'Rhaniad y Ddeiliadaeth (C&amp;De-o)'!F$109)+(X$44*(-(50-$T26)*('Rhaniad y Ddeiliadaeth (C&amp;De-o)'!F$110/40)))</f>
        <v>#VALUE!</v>
      </c>
      <c r="Z26" s="4" t="e">
        <f>Y26*(1+'Rhaniad y Ddeiliadaeth (C&amp;De-o)'!G$109)+(Y$44*(-(50-$T26)*('Rhaniad y Ddeiliadaeth (C&amp;De-o)'!G$110/40)))</f>
        <v>#VALUE!</v>
      </c>
      <c r="AB26" s="1">
        <v>32</v>
      </c>
      <c r="AC26" s="4">
        <f>IF('Rhaniad y Ddeiliadaeth (Cymru)'!$D$8="Amcangyfrifon LlC",'Incwm (Canol. &amp; De-orll)'!D26,'Incwm (Canol. &amp; De-orll)'!V26)</f>
        <v>18606.132716834596</v>
      </c>
      <c r="AD26" s="4">
        <f>IF('Rhaniad y Ddeiliadaeth (Cymru)'!$D$8="Amcangyfrifon LlC",'Incwm (Canol. &amp; De-orll)'!E26,'Incwm (Canol. &amp; De-orll)'!W26)</f>
        <v>18967.013636788935</v>
      </c>
      <c r="AE26" s="4">
        <f>IF('Rhaniad y Ddeiliadaeth (Cymru)'!$D$8="Amcangyfrifon LlC",'Incwm (Canol. &amp; De-orll)'!F26,'Incwm (Canol. &amp; De-orll)'!X26)</f>
        <v>19468.662633993768</v>
      </c>
      <c r="AF26" s="4">
        <f>IF('Rhaniad y Ddeiliadaeth (Cymru)'!$D$8="Amcangyfrifon LlC",'Incwm (Canol. &amp; De-orll)'!G26,'Incwm (Canol. &amp; De-orll)'!Y26)</f>
        <v>20066.194794448467</v>
      </c>
      <c r="AG26" s="4">
        <f>IF('Rhaniad y Ddeiliadaeth (Cymru)'!$D$8="Amcangyfrifon LlC",'Incwm (Canol. &amp; De-orll)'!H26,'Incwm (Canol. &amp; De-orll)'!Z26)</f>
        <v>20700.86254603873</v>
      </c>
    </row>
    <row r="27" spans="2:33" x14ac:dyDescent="0.25">
      <c r="B27" s="20">
        <v>33</v>
      </c>
      <c r="C27" s="56">
        <v>18412.5</v>
      </c>
      <c r="D27" s="57">
        <f>C27*(1+'Rhaniad y Ddeiliadaeth (C&amp;De-o)'!C$109)+(C$44*(-(50-$B27)*('Rhaniad y Ddeiliadaeth (C&amp;De-o)'!C$110/40)))</f>
        <v>18956.700689917976</v>
      </c>
      <c r="E27" s="57">
        <f>D27*(1+'Rhaniad y Ddeiliadaeth (C&amp;De-o)'!D$109)+(D$44*(-(50-$B27)*('Rhaniad y Ddeiliadaeth (C&amp;De-o)'!D$110/40)))</f>
        <v>19333.123185479009</v>
      </c>
      <c r="F27" s="57">
        <f>E27*(1+'Rhaniad y Ddeiliadaeth (C&amp;De-o)'!E$109)+(E$44*(-(50-$B27)*('Rhaniad y Ddeiliadaeth (C&amp;De-o)'!E$110/40)))</f>
        <v>19853.477576782785</v>
      </c>
      <c r="G27" s="57">
        <f>F27*(1+'Rhaniad y Ddeiliadaeth (C&amp;De-o)'!F$109)+(F$44*(-(50-$B27)*('Rhaniad y Ddeiliadaeth (C&amp;De-o)'!F$110/40)))</f>
        <v>20472.196471444382</v>
      </c>
      <c r="H27" s="58">
        <f>G27*(1+'Rhaniad y Ddeiliadaeth (C&amp;De-o)'!G$109)+(G$44*(-(50-$B27)*('Rhaniad y Ddeiliadaeth (C&amp;De-o)'!G$110/40)))</f>
        <v>21129.489562248913</v>
      </c>
      <c r="L27" s="62" t="str">
        <f t="shared" si="0"/>
        <v/>
      </c>
      <c r="M27" s="227"/>
      <c r="N27" s="14">
        <f t="shared" si="3"/>
        <v>1</v>
      </c>
      <c r="T27" s="1">
        <f t="shared" si="1"/>
        <v>33</v>
      </c>
      <c r="U27" s="4" t="str">
        <f t="shared" si="2"/>
        <v/>
      </c>
      <c r="V27" s="4" t="e">
        <f>IF($V$3=$M$3,M27,U27*(1+'Rhaniad y Ddeiliadaeth (C&amp;De-o)'!C$109)+(U$44*(-(50-$T27)*('Rhaniad y Ddeiliadaeth (C&amp;De-o)'!C$110/40))))</f>
        <v>#VALUE!</v>
      </c>
      <c r="W27" s="4" t="e">
        <f>V27*(1+'Rhaniad y Ddeiliadaeth (C&amp;De-o)'!D$109)+(V$44*(-(50-$T27)*('Rhaniad y Ddeiliadaeth (C&amp;De-o)'!D$110/40)))</f>
        <v>#VALUE!</v>
      </c>
      <c r="X27" s="4" t="e">
        <f>W27*(1+'Rhaniad y Ddeiliadaeth (C&amp;De-o)'!E$109)+(W$44*(-(50-$T27)*('Rhaniad y Ddeiliadaeth (C&amp;De-o)'!E$110/40)))</f>
        <v>#VALUE!</v>
      </c>
      <c r="Y27" s="4" t="e">
        <f>X27*(1+'Rhaniad y Ddeiliadaeth (C&amp;De-o)'!F$109)+(X$44*(-(50-$T27)*('Rhaniad y Ddeiliadaeth (C&amp;De-o)'!F$110/40)))</f>
        <v>#VALUE!</v>
      </c>
      <c r="Z27" s="4" t="e">
        <f>Y27*(1+'Rhaniad y Ddeiliadaeth (C&amp;De-o)'!G$109)+(Y$44*(-(50-$T27)*('Rhaniad y Ddeiliadaeth (C&amp;De-o)'!G$110/40)))</f>
        <v>#VALUE!</v>
      </c>
      <c r="AB27" s="1">
        <v>33</v>
      </c>
      <c r="AC27" s="4">
        <f>IF('Rhaniad y Ddeiliadaeth (Cymru)'!$D$8="Amcangyfrifon LlC",'Incwm (Canol. &amp; De-orll)'!D27,'Incwm (Canol. &amp; De-orll)'!V27)</f>
        <v>18956.700689917976</v>
      </c>
      <c r="AD27" s="4">
        <f>IF('Rhaniad y Ddeiliadaeth (Cymru)'!$D$8="Amcangyfrifon LlC",'Incwm (Canol. &amp; De-orll)'!E27,'Incwm (Canol. &amp; De-orll)'!W27)</f>
        <v>19333.123185479009</v>
      </c>
      <c r="AE27" s="4">
        <f>IF('Rhaniad y Ddeiliadaeth (Cymru)'!$D$8="Amcangyfrifon LlC",'Incwm (Canol. &amp; De-orll)'!F27,'Incwm (Canol. &amp; De-orll)'!X27)</f>
        <v>19853.477576782785</v>
      </c>
      <c r="AF27" s="4">
        <f>IF('Rhaniad y Ddeiliadaeth (Cymru)'!$D$8="Amcangyfrifon LlC",'Incwm (Canol. &amp; De-orll)'!G27,'Incwm (Canol. &amp; De-orll)'!Y27)</f>
        <v>20472.196471444382</v>
      </c>
      <c r="AG27" s="4">
        <f>IF('Rhaniad y Ddeiliadaeth (Cymru)'!$D$8="Amcangyfrifon LlC",'Incwm (Canol. &amp; De-orll)'!H27,'Incwm (Canol. &amp; De-orll)'!Z27)</f>
        <v>21129.489562248913</v>
      </c>
    </row>
    <row r="28" spans="2:33" x14ac:dyDescent="0.25">
      <c r="B28" s="20">
        <v>34</v>
      </c>
      <c r="C28" s="56">
        <v>18765</v>
      </c>
      <c r="D28" s="57">
        <f>C28*(1+'Rhaniad y Ddeiliadaeth (C&amp;De-o)'!C$109)+(C$44*(-(50-$B28)*('Rhaniad y Ddeiliadaeth (C&amp;De-o)'!C$110/40)))</f>
        <v>19327.976210254492</v>
      </c>
      <c r="E28" s="57">
        <f>D28*(1+'Rhaniad y Ddeiliadaeth (C&amp;De-o)'!D$109)+(D$44*(-(50-$B28)*('Rhaniad y Ddeiliadaeth (C&amp;De-o)'!D$110/40)))</f>
        <v>19720.472697196892</v>
      </c>
      <c r="F28" s="57">
        <f>E28*(1+'Rhaniad y Ddeiliadaeth (C&amp;De-o)'!E$109)+(E$44*(-(50-$B28)*('Rhaniad y Ddeiliadaeth (C&amp;De-o)'!E$110/40)))</f>
        <v>20260.229217352149</v>
      </c>
      <c r="G28" s="57">
        <f>F28*(1+'Rhaniad y Ddeiliadaeth (C&amp;De-o)'!F$109)+(F$44*(-(50-$B28)*('Rhaniad y Ddeiliadaeth (C&amp;De-o)'!F$110/40)))</f>
        <v>20900.948387360208</v>
      </c>
      <c r="H28" s="58">
        <f>G28*(1+'Rhaniad y Ddeiliadaeth (C&amp;De-o)'!G$109)+(G$44*(-(50-$B28)*('Rhaniad y Ddeiliadaeth (C&amp;De-o)'!G$110/40)))</f>
        <v>21581.73274204757</v>
      </c>
      <c r="L28" s="62" t="str">
        <f t="shared" si="0"/>
        <v/>
      </c>
      <c r="M28" s="227"/>
      <c r="N28" s="14">
        <f t="shared" si="3"/>
        <v>1</v>
      </c>
      <c r="T28" s="1">
        <f t="shared" si="1"/>
        <v>34</v>
      </c>
      <c r="U28" s="4" t="str">
        <f t="shared" si="2"/>
        <v/>
      </c>
      <c r="V28" s="4" t="e">
        <f>IF($V$3=$M$3,M28,U28*(1+'Rhaniad y Ddeiliadaeth (C&amp;De-o)'!C$109)+(U$44*(-(50-$T28)*('Rhaniad y Ddeiliadaeth (C&amp;De-o)'!C$110/40))))</f>
        <v>#VALUE!</v>
      </c>
      <c r="W28" s="4" t="e">
        <f>V28*(1+'Rhaniad y Ddeiliadaeth (C&amp;De-o)'!D$109)+(V$44*(-(50-$T28)*('Rhaniad y Ddeiliadaeth (C&amp;De-o)'!D$110/40)))</f>
        <v>#VALUE!</v>
      </c>
      <c r="X28" s="4" t="e">
        <f>W28*(1+'Rhaniad y Ddeiliadaeth (C&amp;De-o)'!E$109)+(W$44*(-(50-$T28)*('Rhaniad y Ddeiliadaeth (C&amp;De-o)'!E$110/40)))</f>
        <v>#VALUE!</v>
      </c>
      <c r="Y28" s="4" t="e">
        <f>X28*(1+'Rhaniad y Ddeiliadaeth (C&amp;De-o)'!F$109)+(X$44*(-(50-$T28)*('Rhaniad y Ddeiliadaeth (C&amp;De-o)'!F$110/40)))</f>
        <v>#VALUE!</v>
      </c>
      <c r="Z28" s="4" t="e">
        <f>Y28*(1+'Rhaniad y Ddeiliadaeth (C&amp;De-o)'!G$109)+(Y$44*(-(50-$T28)*('Rhaniad y Ddeiliadaeth (C&amp;De-o)'!G$110/40)))</f>
        <v>#VALUE!</v>
      </c>
      <c r="AB28" s="1">
        <v>34</v>
      </c>
      <c r="AC28" s="4">
        <f>IF('Rhaniad y Ddeiliadaeth (Cymru)'!$D$8="Amcangyfrifon LlC",'Incwm (Canol. &amp; De-orll)'!D28,'Incwm (Canol. &amp; De-orll)'!V28)</f>
        <v>19327.976210254492</v>
      </c>
      <c r="AD28" s="4">
        <f>IF('Rhaniad y Ddeiliadaeth (Cymru)'!$D$8="Amcangyfrifon LlC",'Incwm (Canol. &amp; De-orll)'!E28,'Incwm (Canol. &amp; De-orll)'!W28)</f>
        <v>19720.472697196892</v>
      </c>
      <c r="AE28" s="4">
        <f>IF('Rhaniad y Ddeiliadaeth (Cymru)'!$D$8="Amcangyfrifon LlC",'Incwm (Canol. &amp; De-orll)'!F28,'Incwm (Canol. &amp; De-orll)'!X28)</f>
        <v>20260.229217352149</v>
      </c>
      <c r="AF28" s="4">
        <f>IF('Rhaniad y Ddeiliadaeth (Cymru)'!$D$8="Amcangyfrifon LlC",'Incwm (Canol. &amp; De-orll)'!G28,'Incwm (Canol. &amp; De-orll)'!Y28)</f>
        <v>20900.948387360208</v>
      </c>
      <c r="AG28" s="4">
        <f>IF('Rhaniad y Ddeiliadaeth (Cymru)'!$D$8="Amcangyfrifon LlC",'Incwm (Canol. &amp; De-orll)'!H28,'Incwm (Canol. &amp; De-orll)'!Z28)</f>
        <v>21581.73274204757</v>
      </c>
    </row>
    <row r="29" spans="2:33" x14ac:dyDescent="0.25">
      <c r="B29" s="20">
        <v>35</v>
      </c>
      <c r="C29" s="56">
        <v>19097</v>
      </c>
      <c r="D29" s="57">
        <f>C29*(1+'Rhaniad y Ddeiliadaeth (C&amp;De-o)'!C$109)+(C$44*(-(50-$B29)*('Rhaniad y Ddeiliadaeth (C&amp;De-o)'!C$110/40)))</f>
        <v>19678.026494656544</v>
      </c>
      <c r="E29" s="57">
        <f>D29*(1+'Rhaniad y Ddeiliadaeth (C&amp;De-o)'!D$109)+(D$44*(-(50-$B29)*('Rhaniad y Ddeiliadaeth (C&amp;De-o)'!D$110/40)))</f>
        <v>20086.051246811265</v>
      </c>
      <c r="F29" s="57">
        <f>E29*(1+'Rhaniad y Ddeiliadaeth (C&amp;De-o)'!E$109)+(E$44*(-(50-$B29)*('Rhaniad y Ddeiliadaeth (C&amp;De-o)'!E$110/40)))</f>
        <v>20644.495742696654</v>
      </c>
      <c r="G29" s="57">
        <f>F29*(1+'Rhaniad y Ddeiliadaeth (C&amp;De-o)'!F$109)+(F$44*(-(50-$B29)*('Rhaniad y Ddeiliadaeth (C&amp;De-o)'!F$110/40)))</f>
        <v>21306.381308383119</v>
      </c>
      <c r="H29" s="58">
        <f>G29*(1+'Rhaniad y Ddeiliadaeth (C&amp;De-o)'!G$109)+(G$44*(-(50-$B29)*('Rhaniad y Ddeiliadaeth (C&amp;De-o)'!G$110/40)))</f>
        <v>22009.769354168035</v>
      </c>
      <c r="L29" s="62" t="str">
        <f t="shared" si="0"/>
        <v/>
      </c>
      <c r="M29" s="227"/>
      <c r="N29" s="14">
        <f t="shared" si="3"/>
        <v>1</v>
      </c>
      <c r="T29" s="1">
        <f t="shared" si="1"/>
        <v>35</v>
      </c>
      <c r="U29" s="4" t="str">
        <f t="shared" si="2"/>
        <v/>
      </c>
      <c r="V29" s="4" t="e">
        <f>IF($V$3=$M$3,M29,U29*(1+'Rhaniad y Ddeiliadaeth (C&amp;De-o)'!C$109)+(U$44*(-(50-$T29)*('Rhaniad y Ddeiliadaeth (C&amp;De-o)'!C$110/40))))</f>
        <v>#VALUE!</v>
      </c>
      <c r="W29" s="4" t="e">
        <f>V29*(1+'Rhaniad y Ddeiliadaeth (C&amp;De-o)'!D$109)+(V$44*(-(50-$T29)*('Rhaniad y Ddeiliadaeth (C&amp;De-o)'!D$110/40)))</f>
        <v>#VALUE!</v>
      </c>
      <c r="X29" s="4" t="e">
        <f>W29*(1+'Rhaniad y Ddeiliadaeth (C&amp;De-o)'!E$109)+(W$44*(-(50-$T29)*('Rhaniad y Ddeiliadaeth (C&amp;De-o)'!E$110/40)))</f>
        <v>#VALUE!</v>
      </c>
      <c r="Y29" s="4" t="e">
        <f>X29*(1+'Rhaniad y Ddeiliadaeth (C&amp;De-o)'!F$109)+(X$44*(-(50-$T29)*('Rhaniad y Ddeiliadaeth (C&amp;De-o)'!F$110/40)))</f>
        <v>#VALUE!</v>
      </c>
      <c r="Z29" s="4" t="e">
        <f>Y29*(1+'Rhaniad y Ddeiliadaeth (C&amp;De-o)'!G$109)+(Y$44*(-(50-$T29)*('Rhaniad y Ddeiliadaeth (C&amp;De-o)'!G$110/40)))</f>
        <v>#VALUE!</v>
      </c>
      <c r="AB29" s="1">
        <v>35</v>
      </c>
      <c r="AC29" s="4">
        <f>IF('Rhaniad y Ddeiliadaeth (Cymru)'!$D$8="Amcangyfrifon LlC",'Incwm (Canol. &amp; De-orll)'!D29,'Incwm (Canol. &amp; De-orll)'!V29)</f>
        <v>19678.026494656544</v>
      </c>
      <c r="AD29" s="4">
        <f>IF('Rhaniad y Ddeiliadaeth (Cymru)'!$D$8="Amcangyfrifon LlC",'Incwm (Canol. &amp; De-orll)'!E29,'Incwm (Canol. &amp; De-orll)'!W29)</f>
        <v>20086.051246811265</v>
      </c>
      <c r="AE29" s="4">
        <f>IF('Rhaniad y Ddeiliadaeth (Cymru)'!$D$8="Amcangyfrifon LlC",'Incwm (Canol. &amp; De-orll)'!F29,'Incwm (Canol. &amp; De-orll)'!X29)</f>
        <v>20644.495742696654</v>
      </c>
      <c r="AF29" s="4">
        <f>IF('Rhaniad y Ddeiliadaeth (Cymru)'!$D$8="Amcangyfrifon LlC",'Incwm (Canol. &amp; De-orll)'!G29,'Incwm (Canol. &amp; De-orll)'!Y29)</f>
        <v>21306.381308383119</v>
      </c>
      <c r="AG29" s="4">
        <f>IF('Rhaniad y Ddeiliadaeth (Cymru)'!$D$8="Amcangyfrifon LlC",'Incwm (Canol. &amp; De-orll)'!H29,'Incwm (Canol. &amp; De-orll)'!Z29)</f>
        <v>22009.769354168035</v>
      </c>
    </row>
    <row r="30" spans="2:33" x14ac:dyDescent="0.25">
      <c r="B30" s="20">
        <v>36</v>
      </c>
      <c r="C30" s="56">
        <v>19366</v>
      </c>
      <c r="D30" s="57">
        <f>C30*(1+'Rhaniad y Ddeiliadaeth (C&amp;De-o)'!C$109)+(C$44*(-(50-$B30)*('Rhaniad y Ddeiliadaeth (C&amp;De-o)'!C$110/40)))</f>
        <v>19962.848005211217</v>
      </c>
      <c r="E30" s="57">
        <f>D30*(1+'Rhaniad y Ddeiliadaeth (C&amp;De-o)'!D$109)+(D$44*(-(50-$B30)*('Rhaniad y Ddeiliadaeth (C&amp;De-o)'!D$110/40)))</f>
        <v>20384.723912888046</v>
      </c>
      <c r="F30" s="57">
        <f>E30*(1+'Rhaniad y Ddeiliadaeth (C&amp;De-o)'!E$109)+(E$44*(-(50-$B30)*('Rhaniad y Ddeiliadaeth (C&amp;De-o)'!E$110/40)))</f>
        <v>20959.661670033089</v>
      </c>
      <c r="G30" s="57">
        <f>F30*(1+'Rhaniad y Ddeiliadaeth (C&amp;De-o)'!F$109)+(F$44*(-(50-$B30)*('Rhaniad y Ddeiliadaeth (C&amp;De-o)'!F$110/40)))</f>
        <v>21640.150976808338</v>
      </c>
      <c r="H30" s="58">
        <f>G30*(1+'Rhaniad y Ddeiliadaeth (C&amp;De-o)'!G$109)+(G$44*(-(50-$B30)*('Rhaniad y Ddeiliadaeth (C&amp;De-o)'!G$110/40)))</f>
        <v>22363.41505098484</v>
      </c>
      <c r="L30" s="62" t="str">
        <f t="shared" si="0"/>
        <v/>
      </c>
      <c r="M30" s="227"/>
      <c r="N30" s="14">
        <f t="shared" si="3"/>
        <v>1</v>
      </c>
      <c r="T30" s="1">
        <f t="shared" si="1"/>
        <v>36</v>
      </c>
      <c r="U30" s="4" t="str">
        <f t="shared" si="2"/>
        <v/>
      </c>
      <c r="V30" s="4" t="e">
        <f>IF($V$3=$M$3,M30,U30*(1+'Rhaniad y Ddeiliadaeth (C&amp;De-o)'!C$109)+(U$44*(-(50-$T30)*('Rhaniad y Ddeiliadaeth (C&amp;De-o)'!C$110/40))))</f>
        <v>#VALUE!</v>
      </c>
      <c r="W30" s="4" t="e">
        <f>V30*(1+'Rhaniad y Ddeiliadaeth (C&amp;De-o)'!D$109)+(V$44*(-(50-$T30)*('Rhaniad y Ddeiliadaeth (C&amp;De-o)'!D$110/40)))</f>
        <v>#VALUE!</v>
      </c>
      <c r="X30" s="4" t="e">
        <f>W30*(1+'Rhaniad y Ddeiliadaeth (C&amp;De-o)'!E$109)+(W$44*(-(50-$T30)*('Rhaniad y Ddeiliadaeth (C&amp;De-o)'!E$110/40)))</f>
        <v>#VALUE!</v>
      </c>
      <c r="Y30" s="4" t="e">
        <f>X30*(1+'Rhaniad y Ddeiliadaeth (C&amp;De-o)'!F$109)+(X$44*(-(50-$T30)*('Rhaniad y Ddeiliadaeth (C&amp;De-o)'!F$110/40)))</f>
        <v>#VALUE!</v>
      </c>
      <c r="Z30" s="4" t="e">
        <f>Y30*(1+'Rhaniad y Ddeiliadaeth (C&amp;De-o)'!G$109)+(Y$44*(-(50-$T30)*('Rhaniad y Ddeiliadaeth (C&amp;De-o)'!G$110/40)))</f>
        <v>#VALUE!</v>
      </c>
      <c r="AB30" s="1">
        <v>36</v>
      </c>
      <c r="AC30" s="4">
        <f>IF('Rhaniad y Ddeiliadaeth (Cymru)'!$D$8="Amcangyfrifon LlC",'Incwm (Canol. &amp; De-orll)'!D30,'Incwm (Canol. &amp; De-orll)'!V30)</f>
        <v>19962.848005211217</v>
      </c>
      <c r="AD30" s="4">
        <f>IF('Rhaniad y Ddeiliadaeth (Cymru)'!$D$8="Amcangyfrifon LlC",'Incwm (Canol. &amp; De-orll)'!E30,'Incwm (Canol. &amp; De-orll)'!W30)</f>
        <v>20384.723912888046</v>
      </c>
      <c r="AE30" s="4">
        <f>IF('Rhaniad y Ddeiliadaeth (Cymru)'!$D$8="Amcangyfrifon LlC",'Incwm (Canol. &amp; De-orll)'!F30,'Incwm (Canol. &amp; De-orll)'!X30)</f>
        <v>20959.661670033089</v>
      </c>
      <c r="AF30" s="4">
        <f>IF('Rhaniad y Ddeiliadaeth (Cymru)'!$D$8="Amcangyfrifon LlC",'Incwm (Canol. &amp; De-orll)'!G30,'Incwm (Canol. &amp; De-orll)'!Y30)</f>
        <v>21640.150976808338</v>
      </c>
      <c r="AG30" s="4">
        <f>IF('Rhaniad y Ddeiliadaeth (Cymru)'!$D$8="Amcangyfrifon LlC",'Incwm (Canol. &amp; De-orll)'!H30,'Incwm (Canol. &amp; De-orll)'!Z30)</f>
        <v>22363.41505098484</v>
      </c>
    </row>
    <row r="31" spans="2:33" x14ac:dyDescent="0.25">
      <c r="B31" s="20">
        <v>37</v>
      </c>
      <c r="C31" s="56">
        <v>19666</v>
      </c>
      <c r="D31" s="57">
        <f>C31*(1+'Rhaniad y Ddeiliadaeth (C&amp;De-o)'!C$109)+(C$44*(-(50-$B31)*('Rhaniad y Ddeiliadaeth (C&amp;De-o)'!C$110/40)))</f>
        <v>20279.76621400825</v>
      </c>
      <c r="E31" s="57">
        <f>D31*(1+'Rhaniad y Ddeiliadaeth (C&amp;De-o)'!D$109)+(D$44*(-(50-$B31)*('Rhaniad y Ddeiliadaeth (C&amp;De-o)'!D$110/40)))</f>
        <v>20716.31852165793</v>
      </c>
      <c r="F31" s="57">
        <f>E31*(1+'Rhaniad y Ddeiliadaeth (C&amp;De-o)'!E$109)+(E$44*(-(50-$B31)*('Rhaniad y Ddeiliadaeth (C&amp;De-o)'!E$110/40)))</f>
        <v>21308.829478929052</v>
      </c>
      <c r="G31" s="57">
        <f>F31*(1+'Rhaniad y Ddeiliadaeth (C&amp;De-o)'!F$109)+(F$44*(-(50-$B31)*('Rhaniad y Ddeiliadaeth (C&amp;De-o)'!F$110/40)))</f>
        <v>22009.183515559413</v>
      </c>
      <c r="H31" s="58">
        <f>G31*(1+'Rhaniad y Ddeiliadaeth (C&amp;De-o)'!G$109)+(G$44*(-(50-$B31)*('Rhaniad y Ddeiliadaeth (C&amp;De-o)'!G$110/40)))</f>
        <v>22753.665801363768</v>
      </c>
      <c r="L31" s="62" t="str">
        <f t="shared" si="0"/>
        <v/>
      </c>
      <c r="M31" s="227"/>
      <c r="N31" s="14">
        <f t="shared" si="3"/>
        <v>1</v>
      </c>
      <c r="T31" s="1">
        <f t="shared" si="1"/>
        <v>37</v>
      </c>
      <c r="U31" s="4" t="str">
        <f t="shared" si="2"/>
        <v/>
      </c>
      <c r="V31" s="4" t="e">
        <f>IF($V$3=$M$3,M31,U31*(1+'Rhaniad y Ddeiliadaeth (C&amp;De-o)'!C$109)+(U$44*(-(50-$T31)*('Rhaniad y Ddeiliadaeth (C&amp;De-o)'!C$110/40))))</f>
        <v>#VALUE!</v>
      </c>
      <c r="W31" s="4" t="e">
        <f>V31*(1+'Rhaniad y Ddeiliadaeth (C&amp;De-o)'!D$109)+(V$44*(-(50-$T31)*('Rhaniad y Ddeiliadaeth (C&amp;De-o)'!D$110/40)))</f>
        <v>#VALUE!</v>
      </c>
      <c r="X31" s="4" t="e">
        <f>W31*(1+'Rhaniad y Ddeiliadaeth (C&amp;De-o)'!E$109)+(W$44*(-(50-$T31)*('Rhaniad y Ddeiliadaeth (C&amp;De-o)'!E$110/40)))</f>
        <v>#VALUE!</v>
      </c>
      <c r="Y31" s="4" t="e">
        <f>X31*(1+'Rhaniad y Ddeiliadaeth (C&amp;De-o)'!F$109)+(X$44*(-(50-$T31)*('Rhaniad y Ddeiliadaeth (C&amp;De-o)'!F$110/40)))</f>
        <v>#VALUE!</v>
      </c>
      <c r="Z31" s="4" t="e">
        <f>Y31*(1+'Rhaniad y Ddeiliadaeth (C&amp;De-o)'!G$109)+(Y$44*(-(50-$T31)*('Rhaniad y Ddeiliadaeth (C&amp;De-o)'!G$110/40)))</f>
        <v>#VALUE!</v>
      </c>
      <c r="AB31" s="1">
        <v>37</v>
      </c>
      <c r="AC31" s="4">
        <f>IF('Rhaniad y Ddeiliadaeth (Cymru)'!$D$8="Amcangyfrifon LlC",'Incwm (Canol. &amp; De-orll)'!D31,'Incwm (Canol. &amp; De-orll)'!V31)</f>
        <v>20279.76621400825</v>
      </c>
      <c r="AD31" s="4">
        <f>IF('Rhaniad y Ddeiliadaeth (Cymru)'!$D$8="Amcangyfrifon LlC",'Incwm (Canol. &amp; De-orll)'!E31,'Incwm (Canol. &amp; De-orll)'!W31)</f>
        <v>20716.31852165793</v>
      </c>
      <c r="AE31" s="4">
        <f>IF('Rhaniad y Ddeiliadaeth (Cymru)'!$D$8="Amcangyfrifon LlC",'Incwm (Canol. &amp; De-orll)'!F31,'Incwm (Canol. &amp; De-orll)'!X31)</f>
        <v>21308.829478929052</v>
      </c>
      <c r="AF31" s="4">
        <f>IF('Rhaniad y Ddeiliadaeth (Cymru)'!$D$8="Amcangyfrifon LlC",'Incwm (Canol. &amp; De-orll)'!G31,'Incwm (Canol. &amp; De-orll)'!Y31)</f>
        <v>22009.183515559413</v>
      </c>
      <c r="AG31" s="4">
        <f>IF('Rhaniad y Ddeiliadaeth (Cymru)'!$D$8="Amcangyfrifon LlC",'Incwm (Canol. &amp; De-orll)'!H31,'Incwm (Canol. &amp; De-orll)'!Z31)</f>
        <v>22753.665801363768</v>
      </c>
    </row>
    <row r="32" spans="2:33" x14ac:dyDescent="0.25">
      <c r="B32" s="20">
        <v>38</v>
      </c>
      <c r="C32" s="56">
        <v>20091</v>
      </c>
      <c r="D32" s="57">
        <f>C32*(1+'Rhaniad y Ddeiliadaeth (C&amp;De-o)'!C$109)+(C$44*(-(50-$B32)*('Rhaniad y Ddeiliadaeth (C&amp;De-o)'!C$110/40)))</f>
        <v>20726.106593137385</v>
      </c>
      <c r="E32" s="57">
        <f>D32*(1+'Rhaniad y Ddeiliadaeth (C&amp;De-o)'!D$109)+(D$44*(-(50-$B32)*('Rhaniad y Ddeiliadaeth (C&amp;De-o)'!D$110/40)))</f>
        <v>21180.662899351621</v>
      </c>
      <c r="F32" s="57">
        <f>E32*(1+'Rhaniad y Ddeiliadaeth (C&amp;De-o)'!E$109)+(E$44*(-(50-$B32)*('Rhaniad y Ddeiliadaeth (C&amp;De-o)'!E$110/40)))</f>
        <v>21795.101648952157</v>
      </c>
      <c r="G32" s="57">
        <f>F32*(1+'Rhaniad y Ddeiliadaeth (C&amp;De-o)'!F$109)+(F$44*(-(50-$B32)*('Rhaniad y Ddeiliadaeth (C&amp;De-o)'!F$110/40)))</f>
        <v>22520.405047559889</v>
      </c>
      <c r="H32" s="58">
        <f>G32*(1+'Rhaniad y Ddeiliadaeth (C&amp;De-o)'!G$109)+(G$44*(-(50-$B32)*('Rhaniad y Ddeiliadaeth (C&amp;De-o)'!G$110/40)))</f>
        <v>23291.517574170615</v>
      </c>
      <c r="L32" s="62" t="str">
        <f t="shared" si="0"/>
        <v/>
      </c>
      <c r="M32" s="227"/>
      <c r="N32" s="14">
        <f t="shared" si="3"/>
        <v>1</v>
      </c>
      <c r="T32" s="1">
        <f t="shared" si="1"/>
        <v>38</v>
      </c>
      <c r="U32" s="4" t="str">
        <f t="shared" si="2"/>
        <v/>
      </c>
      <c r="V32" s="4" t="e">
        <f>IF($V$3=$M$3,M32,U32*(1+'Rhaniad y Ddeiliadaeth (C&amp;De-o)'!C$109)+(U$44*(-(50-$T32)*('Rhaniad y Ddeiliadaeth (C&amp;De-o)'!C$110/40))))</f>
        <v>#VALUE!</v>
      </c>
      <c r="W32" s="4" t="e">
        <f>V32*(1+'Rhaniad y Ddeiliadaeth (C&amp;De-o)'!D$109)+(V$44*(-(50-$T32)*('Rhaniad y Ddeiliadaeth (C&amp;De-o)'!D$110/40)))</f>
        <v>#VALUE!</v>
      </c>
      <c r="X32" s="4" t="e">
        <f>W32*(1+'Rhaniad y Ddeiliadaeth (C&amp;De-o)'!E$109)+(W$44*(-(50-$T32)*('Rhaniad y Ddeiliadaeth (C&amp;De-o)'!E$110/40)))</f>
        <v>#VALUE!</v>
      </c>
      <c r="Y32" s="4" t="e">
        <f>X32*(1+'Rhaniad y Ddeiliadaeth (C&amp;De-o)'!F$109)+(X$44*(-(50-$T32)*('Rhaniad y Ddeiliadaeth (C&amp;De-o)'!F$110/40)))</f>
        <v>#VALUE!</v>
      </c>
      <c r="Z32" s="4" t="e">
        <f>Y32*(1+'Rhaniad y Ddeiliadaeth (C&amp;De-o)'!G$109)+(Y$44*(-(50-$T32)*('Rhaniad y Ddeiliadaeth (C&amp;De-o)'!G$110/40)))</f>
        <v>#VALUE!</v>
      </c>
      <c r="AB32" s="1">
        <v>38</v>
      </c>
      <c r="AC32" s="4">
        <f>IF('Rhaniad y Ddeiliadaeth (Cymru)'!$D$8="Amcangyfrifon LlC",'Incwm (Canol. &amp; De-orll)'!D32,'Incwm (Canol. &amp; De-orll)'!V32)</f>
        <v>20726.106593137385</v>
      </c>
      <c r="AD32" s="4">
        <f>IF('Rhaniad y Ddeiliadaeth (Cymru)'!$D$8="Amcangyfrifon LlC",'Incwm (Canol. &amp; De-orll)'!E32,'Incwm (Canol. &amp; De-orll)'!W32)</f>
        <v>21180.662899351621</v>
      </c>
      <c r="AE32" s="4">
        <f>IF('Rhaniad y Ddeiliadaeth (Cymru)'!$D$8="Amcangyfrifon LlC",'Incwm (Canol. &amp; De-orll)'!F32,'Incwm (Canol. &amp; De-orll)'!X32)</f>
        <v>21795.101648952157</v>
      </c>
      <c r="AF32" s="4">
        <f>IF('Rhaniad y Ddeiliadaeth (Cymru)'!$D$8="Amcangyfrifon LlC",'Incwm (Canol. &amp; De-orll)'!G32,'Incwm (Canol. &amp; De-orll)'!Y32)</f>
        <v>22520.405047559889</v>
      </c>
      <c r="AG32" s="4">
        <f>IF('Rhaniad y Ddeiliadaeth (Cymru)'!$D$8="Amcangyfrifon LlC",'Incwm (Canol. &amp; De-orll)'!H32,'Incwm (Canol. &amp; De-orll)'!Z32)</f>
        <v>23291.517574170615</v>
      </c>
    </row>
    <row r="33" spans="2:33" x14ac:dyDescent="0.25">
      <c r="B33" s="20">
        <v>39</v>
      </c>
      <c r="C33" s="56">
        <v>20575</v>
      </c>
      <c r="D33" s="57">
        <f>C33*(1+'Rhaniad y Ddeiliadaeth (C&amp;De-o)'!C$109)+(C$44*(-(50-$B33)*('Rhaniad y Ddeiliadaeth (C&amp;De-o)'!C$110/40)))</f>
        <v>21233.534236663265</v>
      </c>
      <c r="E33" s="57">
        <f>D33*(1+'Rhaniad y Ddeiliadaeth (C&amp;De-o)'!D$109)+(D$44*(-(50-$B33)*('Rhaniad y Ddeiliadaeth (C&amp;De-o)'!D$110/40)))</f>
        <v>21707.665167977335</v>
      </c>
      <c r="F33" s="57">
        <f>E33*(1+'Rhaniad y Ddeiliadaeth (C&amp;De-o)'!E$109)+(E$44*(-(50-$B33)*('Rhaniad y Ddeiliadaeth (C&amp;De-o)'!E$110/40)))</f>
        <v>22346.087077427255</v>
      </c>
      <c r="G33" s="57">
        <f>F33*(1+'Rhaniad y Ddeiliadaeth (C&amp;De-o)'!F$109)+(F$44*(-(50-$B33)*('Rhaniad y Ddeiliadaeth (C&amp;De-o)'!F$110/40)))</f>
        <v>23098.739784374073</v>
      </c>
      <c r="H33" s="58">
        <f>G33*(1+'Rhaniad y Ddeiliadaeth (C&amp;De-o)'!G$109)+(G$44*(-(50-$B33)*('Rhaniad y Ddeiliadaeth (C&amp;De-o)'!G$110/40)))</f>
        <v>23899.037029563424</v>
      </c>
      <c r="L33" s="62" t="str">
        <f t="shared" si="0"/>
        <v/>
      </c>
      <c r="M33" s="227"/>
      <c r="N33" s="14">
        <f t="shared" si="3"/>
        <v>1</v>
      </c>
      <c r="T33" s="1">
        <f t="shared" si="1"/>
        <v>39</v>
      </c>
      <c r="U33" s="4" t="str">
        <f t="shared" si="2"/>
        <v/>
      </c>
      <c r="V33" s="4" t="e">
        <f>IF($V$3=$M$3,M33,U33*(1+'Rhaniad y Ddeiliadaeth (C&amp;De-o)'!C$109)+(U$44*(-(50-$T33)*('Rhaniad y Ddeiliadaeth (C&amp;De-o)'!C$110/40))))</f>
        <v>#VALUE!</v>
      </c>
      <c r="W33" s="4" t="e">
        <f>V33*(1+'Rhaniad y Ddeiliadaeth (C&amp;De-o)'!D$109)+(V$44*(-(50-$T33)*('Rhaniad y Ddeiliadaeth (C&amp;De-o)'!D$110/40)))</f>
        <v>#VALUE!</v>
      </c>
      <c r="X33" s="4" t="e">
        <f>W33*(1+'Rhaniad y Ddeiliadaeth (C&amp;De-o)'!E$109)+(W$44*(-(50-$T33)*('Rhaniad y Ddeiliadaeth (C&amp;De-o)'!E$110/40)))</f>
        <v>#VALUE!</v>
      </c>
      <c r="Y33" s="4" t="e">
        <f>X33*(1+'Rhaniad y Ddeiliadaeth (C&amp;De-o)'!F$109)+(X$44*(-(50-$T33)*('Rhaniad y Ddeiliadaeth (C&amp;De-o)'!F$110/40)))</f>
        <v>#VALUE!</v>
      </c>
      <c r="Z33" s="4" t="e">
        <f>Y33*(1+'Rhaniad y Ddeiliadaeth (C&amp;De-o)'!G$109)+(Y$44*(-(50-$T33)*('Rhaniad y Ddeiliadaeth (C&amp;De-o)'!G$110/40)))</f>
        <v>#VALUE!</v>
      </c>
      <c r="AB33" s="1">
        <v>39</v>
      </c>
      <c r="AC33" s="4">
        <f>IF('Rhaniad y Ddeiliadaeth (Cymru)'!$D$8="Amcangyfrifon LlC",'Incwm (Canol. &amp; De-orll)'!D33,'Incwm (Canol. &amp; De-orll)'!V33)</f>
        <v>21233.534236663265</v>
      </c>
      <c r="AD33" s="4">
        <f>IF('Rhaniad y Ddeiliadaeth (Cymru)'!$D$8="Amcangyfrifon LlC",'Incwm (Canol. &amp; De-orll)'!E33,'Incwm (Canol. &amp; De-orll)'!W33)</f>
        <v>21707.665167977335</v>
      </c>
      <c r="AE33" s="4">
        <f>IF('Rhaniad y Ddeiliadaeth (Cymru)'!$D$8="Amcangyfrifon LlC",'Incwm (Canol. &amp; De-orll)'!F33,'Incwm (Canol. &amp; De-orll)'!X33)</f>
        <v>22346.087077427255</v>
      </c>
      <c r="AF33" s="4">
        <f>IF('Rhaniad y Ddeiliadaeth (Cymru)'!$D$8="Amcangyfrifon LlC",'Incwm (Canol. &amp; De-orll)'!G33,'Incwm (Canol. &amp; De-orll)'!Y33)</f>
        <v>23098.739784374073</v>
      </c>
      <c r="AG33" s="4">
        <f>IF('Rhaniad y Ddeiliadaeth (Cymru)'!$D$8="Amcangyfrifon LlC",'Incwm (Canol. &amp; De-orll)'!H33,'Incwm (Canol. &amp; De-orll)'!Z33)</f>
        <v>23899.037029563424</v>
      </c>
    </row>
    <row r="34" spans="2:33" x14ac:dyDescent="0.25">
      <c r="B34" s="20">
        <v>40</v>
      </c>
      <c r="C34" s="56">
        <v>21055</v>
      </c>
      <c r="D34" s="57">
        <f>C34*(1+'Rhaniad y Ddeiliadaeth (C&amp;De-o)'!C$109)+(C$44*(-(50-$B34)*('Rhaniad y Ddeiliadaeth (C&amp;De-o)'!C$110/40)))</f>
        <v>21736.820370738522</v>
      </c>
      <c r="E34" s="57">
        <f>D34*(1+'Rhaniad y Ddeiliadaeth (C&amp;De-o)'!D$109)+(D$44*(-(50-$B34)*('Rhaniad y Ddeiliadaeth (C&amp;De-o)'!D$110/40)))</f>
        <v>22230.419443997493</v>
      </c>
      <c r="F34" s="57">
        <f>E34*(1+'Rhaniad y Ddeiliadaeth (C&amp;De-o)'!E$109)+(E$44*(-(50-$B34)*('Rhaniad y Ddeiliadaeth (C&amp;De-o)'!E$110/40)))</f>
        <v>22892.685166346295</v>
      </c>
      <c r="G34" s="57">
        <f>F34*(1+'Rhaniad y Ddeiliadaeth (C&amp;De-o)'!F$109)+(F$44*(-(50-$B34)*('Rhaniad y Ddeiliadaeth (C&amp;De-o)'!F$110/40)))</f>
        <v>23672.524473404283</v>
      </c>
      <c r="H34" s="58">
        <f>G34*(1+'Rhaniad y Ddeiliadaeth (C&amp;De-o)'!G$109)+(G$44*(-(50-$B34)*('Rhaniad y Ddeiliadaeth (C&amp;De-o)'!G$110/40)))</f>
        <v>24501.833252238546</v>
      </c>
      <c r="L34" s="62" t="str">
        <f t="shared" si="0"/>
        <v/>
      </c>
      <c r="M34" s="227"/>
      <c r="N34" s="14">
        <f t="shared" si="3"/>
        <v>1</v>
      </c>
      <c r="T34" s="1">
        <f t="shared" si="1"/>
        <v>40</v>
      </c>
      <c r="U34" s="4" t="str">
        <f t="shared" si="2"/>
        <v/>
      </c>
      <c r="V34" s="4" t="e">
        <f>IF($V$3=$M$3,M34,U34*(1+'Rhaniad y Ddeiliadaeth (C&amp;De-o)'!C$109)+(U$44*(-(50-$T34)*('Rhaniad y Ddeiliadaeth (C&amp;De-o)'!C$110/40))))</f>
        <v>#VALUE!</v>
      </c>
      <c r="W34" s="4" t="e">
        <f>V34*(1+'Rhaniad y Ddeiliadaeth (C&amp;De-o)'!D$109)+(V$44*(-(50-$T34)*('Rhaniad y Ddeiliadaeth (C&amp;De-o)'!D$110/40)))</f>
        <v>#VALUE!</v>
      </c>
      <c r="X34" s="4" t="e">
        <f>W34*(1+'Rhaniad y Ddeiliadaeth (C&amp;De-o)'!E$109)+(W$44*(-(50-$T34)*('Rhaniad y Ddeiliadaeth (C&amp;De-o)'!E$110/40)))</f>
        <v>#VALUE!</v>
      </c>
      <c r="Y34" s="4" t="e">
        <f>X34*(1+'Rhaniad y Ddeiliadaeth (C&amp;De-o)'!F$109)+(X$44*(-(50-$T34)*('Rhaniad y Ddeiliadaeth (C&amp;De-o)'!F$110/40)))</f>
        <v>#VALUE!</v>
      </c>
      <c r="Z34" s="4" t="e">
        <f>Y34*(1+'Rhaniad y Ddeiliadaeth (C&amp;De-o)'!G$109)+(Y$44*(-(50-$T34)*('Rhaniad y Ddeiliadaeth (C&amp;De-o)'!G$110/40)))</f>
        <v>#VALUE!</v>
      </c>
      <c r="AB34" s="1">
        <v>40</v>
      </c>
      <c r="AC34" s="4">
        <f>IF('Rhaniad y Ddeiliadaeth (Cymru)'!$D$8="Amcangyfrifon LlC",'Incwm (Canol. &amp; De-orll)'!D34,'Incwm (Canol. &amp; De-orll)'!V34)</f>
        <v>21736.820370738522</v>
      </c>
      <c r="AD34" s="4">
        <f>IF('Rhaniad y Ddeiliadaeth (Cymru)'!$D$8="Amcangyfrifon LlC",'Incwm (Canol. &amp; De-orll)'!E34,'Incwm (Canol. &amp; De-orll)'!W34)</f>
        <v>22230.419443997493</v>
      </c>
      <c r="AE34" s="4">
        <f>IF('Rhaniad y Ddeiliadaeth (Cymru)'!$D$8="Amcangyfrifon LlC",'Incwm (Canol. &amp; De-orll)'!F34,'Incwm (Canol. &amp; De-orll)'!X34)</f>
        <v>22892.685166346295</v>
      </c>
      <c r="AF34" s="4">
        <f>IF('Rhaniad y Ddeiliadaeth (Cymru)'!$D$8="Amcangyfrifon LlC",'Incwm (Canol. &amp; De-orll)'!G34,'Incwm (Canol. &amp; De-orll)'!Y34)</f>
        <v>23672.524473404283</v>
      </c>
      <c r="AG34" s="4">
        <f>IF('Rhaniad y Ddeiliadaeth (Cymru)'!$D$8="Amcangyfrifon LlC",'Incwm (Canol. &amp; De-orll)'!H34,'Incwm (Canol. &amp; De-orll)'!Z34)</f>
        <v>24501.833252238546</v>
      </c>
    </row>
    <row r="35" spans="2:33" x14ac:dyDescent="0.25">
      <c r="B35" s="20">
        <v>41</v>
      </c>
      <c r="C35" s="56">
        <v>21349</v>
      </c>
      <c r="D35" s="57">
        <f>C35*(1+'Rhaniad y Ddeiliadaeth (C&amp;De-o)'!C$109)+(C$44*(-(50-$B35)*('Rhaniad y Ddeiliadaeth (C&amp;De-o)'!C$110/40)))</f>
        <v>22047.526315359613</v>
      </c>
      <c r="E35" s="57">
        <f>D35*(1+'Rhaniad y Ddeiliadaeth (C&amp;De-o)'!D$109)+(D$44*(-(50-$B35)*('Rhaniad y Ddeiliadaeth (C&amp;De-o)'!D$110/40)))</f>
        <v>22555.642063859035</v>
      </c>
      <c r="F35" s="57">
        <f>E35*(1+'Rhaniad y Ddeiliadaeth (C&amp;De-o)'!E$109)+(E$44*(-(50-$B35)*('Rhaniad y Ddeiliadaeth (C&amp;De-o)'!E$110/40)))</f>
        <v>23235.271965908156</v>
      </c>
      <c r="G35" s="57">
        <f>F35*(1+'Rhaniad y Ddeiliadaeth (C&amp;De-o)'!F$109)+(F$44*(-(50-$B35)*('Rhaniad y Ddeiliadaeth (C&amp;De-o)'!F$110/40)))</f>
        <v>24034.731940479382</v>
      </c>
      <c r="H35" s="58">
        <f>G35*(1+'Rhaniad y Ddeiliadaeth (C&amp;De-o)'!G$109)+(G$44*(-(50-$B35)*('Rhaniad y Ddeiliadaeth (C&amp;De-o)'!G$110/40)))</f>
        <v>24884.999153540932</v>
      </c>
      <c r="L35" s="62" t="str">
        <f t="shared" si="0"/>
        <v/>
      </c>
      <c r="M35" s="227"/>
      <c r="N35" s="14">
        <f t="shared" si="3"/>
        <v>1</v>
      </c>
      <c r="T35" s="1">
        <f t="shared" si="1"/>
        <v>41</v>
      </c>
      <c r="U35" s="4" t="str">
        <f t="shared" si="2"/>
        <v/>
      </c>
      <c r="V35" s="4" t="e">
        <f>IF($V$3=$M$3,M35,U35*(1+'Rhaniad y Ddeiliadaeth (C&amp;De-o)'!C$109)+(U$44*(-(50-$T35)*('Rhaniad y Ddeiliadaeth (C&amp;De-o)'!C$110/40))))</f>
        <v>#VALUE!</v>
      </c>
      <c r="W35" s="4" t="e">
        <f>V35*(1+'Rhaniad y Ddeiliadaeth (C&amp;De-o)'!D$109)+(V$44*(-(50-$T35)*('Rhaniad y Ddeiliadaeth (C&amp;De-o)'!D$110/40)))</f>
        <v>#VALUE!</v>
      </c>
      <c r="X35" s="4" t="e">
        <f>W35*(1+'Rhaniad y Ddeiliadaeth (C&amp;De-o)'!E$109)+(W$44*(-(50-$T35)*('Rhaniad y Ddeiliadaeth (C&amp;De-o)'!E$110/40)))</f>
        <v>#VALUE!</v>
      </c>
      <c r="Y35" s="4" t="e">
        <f>X35*(1+'Rhaniad y Ddeiliadaeth (C&amp;De-o)'!F$109)+(X$44*(-(50-$T35)*('Rhaniad y Ddeiliadaeth (C&amp;De-o)'!F$110/40)))</f>
        <v>#VALUE!</v>
      </c>
      <c r="Z35" s="4" t="e">
        <f>Y35*(1+'Rhaniad y Ddeiliadaeth (C&amp;De-o)'!G$109)+(Y$44*(-(50-$T35)*('Rhaniad y Ddeiliadaeth (C&amp;De-o)'!G$110/40)))</f>
        <v>#VALUE!</v>
      </c>
      <c r="AB35" s="1">
        <v>41</v>
      </c>
      <c r="AC35" s="4">
        <f>IF('Rhaniad y Ddeiliadaeth (Cymru)'!$D$8="Amcangyfrifon LlC",'Incwm (Canol. &amp; De-orll)'!D35,'Incwm (Canol. &amp; De-orll)'!V35)</f>
        <v>22047.526315359613</v>
      </c>
      <c r="AD35" s="4">
        <f>IF('Rhaniad y Ddeiliadaeth (Cymru)'!$D$8="Amcangyfrifon LlC",'Incwm (Canol. &amp; De-orll)'!E35,'Incwm (Canol. &amp; De-orll)'!W35)</f>
        <v>22555.642063859035</v>
      </c>
      <c r="AE35" s="4">
        <f>IF('Rhaniad y Ddeiliadaeth (Cymru)'!$D$8="Amcangyfrifon LlC",'Incwm (Canol. &amp; De-orll)'!F35,'Incwm (Canol. &amp; De-orll)'!X35)</f>
        <v>23235.271965908156</v>
      </c>
      <c r="AF35" s="4">
        <f>IF('Rhaniad y Ddeiliadaeth (Cymru)'!$D$8="Amcangyfrifon LlC",'Incwm (Canol. &amp; De-orll)'!G35,'Incwm (Canol. &amp; De-orll)'!Y35)</f>
        <v>24034.731940479382</v>
      </c>
      <c r="AG35" s="4">
        <f>IF('Rhaniad y Ddeiliadaeth (Cymru)'!$D$8="Amcangyfrifon LlC",'Incwm (Canol. &amp; De-orll)'!H35,'Incwm (Canol. &amp; De-orll)'!Z35)</f>
        <v>24884.999153540932</v>
      </c>
    </row>
    <row r="36" spans="2:33" x14ac:dyDescent="0.25">
      <c r="B36" s="20">
        <v>42</v>
      </c>
      <c r="C36" s="56">
        <v>21624.5</v>
      </c>
      <c r="D36" s="57">
        <f>C36*(1+'Rhaniad y Ddeiliadaeth (C&amp;De-o)'!C$109)+(C$44*(-(50-$B36)*('Rhaniad y Ddeiliadaeth (C&amp;De-o)'!C$110/40)))</f>
        <v>22339.07777877156</v>
      </c>
      <c r="E36" s="57">
        <f>D36*(1+'Rhaniad y Ddeiliadaeth (C&amp;De-o)'!D$109)+(D$44*(-(50-$B36)*('Rhaniad y Ddeiliadaeth (C&amp;De-o)'!D$110/40)))</f>
        <v>22861.217717919859</v>
      </c>
      <c r="F36" s="57">
        <f>E36*(1+'Rhaniad y Ddeiliadaeth (C&amp;De-o)'!E$109)+(E$44*(-(50-$B36)*('Rhaniad y Ddeiliadaeth (C&amp;De-o)'!E$110/40)))</f>
        <v>23557.567320023209</v>
      </c>
      <c r="G36" s="57">
        <f>F36*(1+'Rhaniad y Ddeiliadaeth (C&amp;De-o)'!F$109)+(F$44*(-(50-$B36)*('Rhaniad y Ddeiliadaeth (C&amp;De-o)'!F$110/40)))</f>
        <v>24375.895436553579</v>
      </c>
      <c r="H36" s="58">
        <f>G36*(1+'Rhaniad y Ddeiliadaeth (C&amp;De-o)'!G$109)+(G$44*(-(50-$B36)*('Rhaniad y Ddeiliadaeth (C&amp;De-o)'!G$110/40)))</f>
        <v>25246.320103523998</v>
      </c>
      <c r="L36" s="62" t="str">
        <f t="shared" si="0"/>
        <v/>
      </c>
      <c r="M36" s="227"/>
      <c r="N36" s="14">
        <f t="shared" si="3"/>
        <v>1</v>
      </c>
      <c r="T36" s="1">
        <f t="shared" si="1"/>
        <v>42</v>
      </c>
      <c r="U36" s="4" t="str">
        <f t="shared" si="2"/>
        <v/>
      </c>
      <c r="V36" s="4" t="e">
        <f>IF($V$3=$M$3,M36,U36*(1+'Rhaniad y Ddeiliadaeth (C&amp;De-o)'!C$109)+(U$44*(-(50-$T36)*('Rhaniad y Ddeiliadaeth (C&amp;De-o)'!C$110/40))))</f>
        <v>#VALUE!</v>
      </c>
      <c r="W36" s="4" t="e">
        <f>V36*(1+'Rhaniad y Ddeiliadaeth (C&amp;De-o)'!D$109)+(V$44*(-(50-$T36)*('Rhaniad y Ddeiliadaeth (C&amp;De-o)'!D$110/40)))</f>
        <v>#VALUE!</v>
      </c>
      <c r="X36" s="4" t="e">
        <f>W36*(1+'Rhaniad y Ddeiliadaeth (C&amp;De-o)'!E$109)+(W$44*(-(50-$T36)*('Rhaniad y Ddeiliadaeth (C&amp;De-o)'!E$110/40)))</f>
        <v>#VALUE!</v>
      </c>
      <c r="Y36" s="4" t="e">
        <f>X36*(1+'Rhaniad y Ddeiliadaeth (C&amp;De-o)'!F$109)+(X$44*(-(50-$T36)*('Rhaniad y Ddeiliadaeth (C&amp;De-o)'!F$110/40)))</f>
        <v>#VALUE!</v>
      </c>
      <c r="Z36" s="4" t="e">
        <f>Y36*(1+'Rhaniad y Ddeiliadaeth (C&amp;De-o)'!G$109)+(Y$44*(-(50-$T36)*('Rhaniad y Ddeiliadaeth (C&amp;De-o)'!G$110/40)))</f>
        <v>#VALUE!</v>
      </c>
      <c r="AB36" s="1">
        <v>42</v>
      </c>
      <c r="AC36" s="4">
        <f>IF('Rhaniad y Ddeiliadaeth (Cymru)'!$D$8="Amcangyfrifon LlC",'Incwm (Canol. &amp; De-orll)'!D36,'Incwm (Canol. &amp; De-orll)'!V36)</f>
        <v>22339.07777877156</v>
      </c>
      <c r="AD36" s="4">
        <f>IF('Rhaniad y Ddeiliadaeth (Cymru)'!$D$8="Amcangyfrifon LlC",'Incwm (Canol. &amp; De-orll)'!E36,'Incwm (Canol. &amp; De-orll)'!W36)</f>
        <v>22861.217717919859</v>
      </c>
      <c r="AE36" s="4">
        <f>IF('Rhaniad y Ddeiliadaeth (Cymru)'!$D$8="Amcangyfrifon LlC",'Incwm (Canol. &amp; De-orll)'!F36,'Incwm (Canol. &amp; De-orll)'!X36)</f>
        <v>23557.567320023209</v>
      </c>
      <c r="AF36" s="4">
        <f>IF('Rhaniad y Ddeiliadaeth (Cymru)'!$D$8="Amcangyfrifon LlC",'Incwm (Canol. &amp; De-orll)'!G36,'Incwm (Canol. &amp; De-orll)'!Y36)</f>
        <v>24375.895436553579</v>
      </c>
      <c r="AG36" s="4">
        <f>IF('Rhaniad y Ddeiliadaeth (Cymru)'!$D$8="Amcangyfrifon LlC",'Incwm (Canol. &amp; De-orll)'!H36,'Incwm (Canol. &amp; De-orll)'!Z36)</f>
        <v>25246.320103523998</v>
      </c>
    </row>
    <row r="37" spans="2:33" x14ac:dyDescent="0.25">
      <c r="B37" s="20">
        <v>43</v>
      </c>
      <c r="C37" s="56">
        <v>22037.5</v>
      </c>
      <c r="D37" s="57">
        <f>C37*(1+'Rhaniad y Ddeiliadaeth (C&amp;De-o)'!C$109)+(C$44*(-(50-$B37)*('Rhaniad y Ddeiliadaeth (C&amp;De-o)'!C$110/40)))</f>
        <v>22772.993629548808</v>
      </c>
      <c r="E37" s="57">
        <f>D37*(1+'Rhaniad y Ddeiliadaeth (C&amp;De-o)'!D$109)+(D$44*(-(50-$B37)*('Rhaniad y Ddeiliadaeth (C&amp;De-o)'!D$110/40)))</f>
        <v>23312.818117796854</v>
      </c>
      <c r="F37" s="57">
        <f>E37*(1+'Rhaniad y Ddeiliadaeth (C&amp;De-o)'!E$109)+(E$44*(-(50-$B37)*('Rhaniad y Ddeiliadaeth (C&amp;De-o)'!E$110/40)))</f>
        <v>24030.677471378094</v>
      </c>
      <c r="G37" s="57">
        <f>F37*(1+'Rhaniad y Ddeiliadaeth (C&amp;De-o)'!F$109)+(F$44*(-(50-$B37)*('Rhaniad y Ddeiliadaeth (C&amp;De-o)'!F$110/40)))</f>
        <v>24873.4668252021</v>
      </c>
      <c r="H37" s="58">
        <f>G37*(1+'Rhaniad y Ddeiliadaeth (C&amp;De-o)'!G$109)+(G$44*(-(50-$B37)*('Rhaniad y Ddeiliadaeth (C&amp;De-o)'!G$110/40)))</f>
        <v>25770.002178177747</v>
      </c>
      <c r="L37" s="62" t="str">
        <f t="shared" si="0"/>
        <v/>
      </c>
      <c r="M37" s="227"/>
      <c r="N37" s="14">
        <f t="shared" si="3"/>
        <v>1</v>
      </c>
      <c r="T37" s="1">
        <f t="shared" si="1"/>
        <v>43</v>
      </c>
      <c r="U37" s="4" t="str">
        <f t="shared" si="2"/>
        <v/>
      </c>
      <c r="V37" s="4" t="e">
        <f>IF($V$3=$M$3,M37,U37*(1+'Rhaniad y Ddeiliadaeth (C&amp;De-o)'!C$109)+(U$44*(-(50-$T37)*('Rhaniad y Ddeiliadaeth (C&amp;De-o)'!C$110/40))))</f>
        <v>#VALUE!</v>
      </c>
      <c r="W37" s="4" t="e">
        <f>V37*(1+'Rhaniad y Ddeiliadaeth (C&amp;De-o)'!D$109)+(V$44*(-(50-$T37)*('Rhaniad y Ddeiliadaeth (C&amp;De-o)'!D$110/40)))</f>
        <v>#VALUE!</v>
      </c>
      <c r="X37" s="4" t="e">
        <f>W37*(1+'Rhaniad y Ddeiliadaeth (C&amp;De-o)'!E$109)+(W$44*(-(50-$T37)*('Rhaniad y Ddeiliadaeth (C&amp;De-o)'!E$110/40)))</f>
        <v>#VALUE!</v>
      </c>
      <c r="Y37" s="4" t="e">
        <f>X37*(1+'Rhaniad y Ddeiliadaeth (C&amp;De-o)'!F$109)+(X$44*(-(50-$T37)*('Rhaniad y Ddeiliadaeth (C&amp;De-o)'!F$110/40)))</f>
        <v>#VALUE!</v>
      </c>
      <c r="Z37" s="4" t="e">
        <f>Y37*(1+'Rhaniad y Ddeiliadaeth (C&amp;De-o)'!G$109)+(Y$44*(-(50-$T37)*('Rhaniad y Ddeiliadaeth (C&amp;De-o)'!G$110/40)))</f>
        <v>#VALUE!</v>
      </c>
      <c r="AB37" s="1">
        <v>43</v>
      </c>
      <c r="AC37" s="4">
        <f>IF('Rhaniad y Ddeiliadaeth (Cymru)'!$D$8="Amcangyfrifon LlC",'Incwm (Canol. &amp; De-orll)'!D37,'Incwm (Canol. &amp; De-orll)'!V37)</f>
        <v>22772.993629548808</v>
      </c>
      <c r="AD37" s="4">
        <f>IF('Rhaniad y Ddeiliadaeth (Cymru)'!$D$8="Amcangyfrifon LlC",'Incwm (Canol. &amp; De-orll)'!E37,'Incwm (Canol. &amp; De-orll)'!W37)</f>
        <v>23312.818117796854</v>
      </c>
      <c r="AE37" s="4">
        <f>IF('Rhaniad y Ddeiliadaeth (Cymru)'!$D$8="Amcangyfrifon LlC",'Incwm (Canol. &amp; De-orll)'!F37,'Incwm (Canol. &amp; De-orll)'!X37)</f>
        <v>24030.677471378094</v>
      </c>
      <c r="AF37" s="4">
        <f>IF('Rhaniad y Ddeiliadaeth (Cymru)'!$D$8="Amcangyfrifon LlC",'Incwm (Canol. &amp; De-orll)'!G37,'Incwm (Canol. &amp; De-orll)'!Y37)</f>
        <v>24873.4668252021</v>
      </c>
      <c r="AG37" s="4">
        <f>IF('Rhaniad y Ddeiliadaeth (Cymru)'!$D$8="Amcangyfrifon LlC",'Incwm (Canol. &amp; De-orll)'!H37,'Incwm (Canol. &amp; De-orll)'!Z37)</f>
        <v>25770.002178177747</v>
      </c>
    </row>
    <row r="38" spans="2:33" x14ac:dyDescent="0.25">
      <c r="B38" s="20">
        <v>44</v>
      </c>
      <c r="C38" s="56">
        <v>22575</v>
      </c>
      <c r="D38" s="57">
        <f>C38*(1+'Rhaniad y Ddeiliadaeth (C&amp;De-o)'!C$109)+(C$44*(-(50-$B38)*('Rhaniad y Ddeiliadaeth (C&amp;De-o)'!C$110/40)))</f>
        <v>23335.813961976826</v>
      </c>
      <c r="E38" s="57">
        <f>D38*(1+'Rhaniad y Ddeiliadaeth (C&amp;De-o)'!D$109)+(D$44*(-(50-$B38)*('Rhaniad y Ddeiliadaeth (C&amp;De-o)'!D$110/40)))</f>
        <v>23896.637287521957</v>
      </c>
      <c r="F38" s="57">
        <f>E38*(1+'Rhaniad y Ddeiliadaeth (C&amp;De-o)'!E$109)+(E$44*(-(50-$B38)*('Rhaniad y Ddeiliadaeth (C&amp;De-o)'!E$110/40)))</f>
        <v>24640.343566415613</v>
      </c>
      <c r="G38" s="57">
        <f>F38*(1+'Rhaniad y Ddeiliadaeth (C&amp;De-o)'!F$109)+(F$44*(-(50-$B38)*('Rhaniad y Ddeiliadaeth (C&amp;De-o)'!F$110/40)))</f>
        <v>25512.658451127034</v>
      </c>
      <c r="H38" s="58">
        <f>G38*(1+'Rhaniad y Ddeiliadaeth (C&amp;De-o)'!G$109)+(G$44*(-(50-$B38)*('Rhaniad y Ddeiliadaeth (C&amp;De-o)'!G$110/40)))</f>
        <v>26440.694871169711</v>
      </c>
      <c r="L38" s="62" t="str">
        <f t="shared" si="0"/>
        <v/>
      </c>
      <c r="M38" s="227"/>
      <c r="N38" s="14">
        <f t="shared" si="3"/>
        <v>1</v>
      </c>
      <c r="T38" s="1">
        <f t="shared" si="1"/>
        <v>44</v>
      </c>
      <c r="U38" s="4" t="str">
        <f t="shared" si="2"/>
        <v/>
      </c>
      <c r="V38" s="4" t="e">
        <f>IF($V$3=$M$3,M38,U38*(1+'Rhaniad y Ddeiliadaeth (C&amp;De-o)'!C$109)+(U$44*(-(50-$T38)*('Rhaniad y Ddeiliadaeth (C&amp;De-o)'!C$110/40))))</f>
        <v>#VALUE!</v>
      </c>
      <c r="W38" s="4" t="e">
        <f>V38*(1+'Rhaniad y Ddeiliadaeth (C&amp;De-o)'!D$109)+(V$44*(-(50-$T38)*('Rhaniad y Ddeiliadaeth (C&amp;De-o)'!D$110/40)))</f>
        <v>#VALUE!</v>
      </c>
      <c r="X38" s="4" t="e">
        <f>W38*(1+'Rhaniad y Ddeiliadaeth (C&amp;De-o)'!E$109)+(W$44*(-(50-$T38)*('Rhaniad y Ddeiliadaeth (C&amp;De-o)'!E$110/40)))</f>
        <v>#VALUE!</v>
      </c>
      <c r="Y38" s="4" t="e">
        <f>X38*(1+'Rhaniad y Ddeiliadaeth (C&amp;De-o)'!F$109)+(X$44*(-(50-$T38)*('Rhaniad y Ddeiliadaeth (C&amp;De-o)'!F$110/40)))</f>
        <v>#VALUE!</v>
      </c>
      <c r="Z38" s="4" t="e">
        <f>Y38*(1+'Rhaniad y Ddeiliadaeth (C&amp;De-o)'!G$109)+(Y$44*(-(50-$T38)*('Rhaniad y Ddeiliadaeth (C&amp;De-o)'!G$110/40)))</f>
        <v>#VALUE!</v>
      </c>
      <c r="AB38" s="1">
        <v>44</v>
      </c>
      <c r="AC38" s="4">
        <f>IF('Rhaniad y Ddeiliadaeth (Cymru)'!$D$8="Amcangyfrifon LlC",'Incwm (Canol. &amp; De-orll)'!D38,'Incwm (Canol. &amp; De-orll)'!V38)</f>
        <v>23335.813961976826</v>
      </c>
      <c r="AD38" s="4">
        <f>IF('Rhaniad y Ddeiliadaeth (Cymru)'!$D$8="Amcangyfrifon LlC",'Incwm (Canol. &amp; De-orll)'!E38,'Incwm (Canol. &amp; De-orll)'!W38)</f>
        <v>23896.637287521957</v>
      </c>
      <c r="AE38" s="4">
        <f>IF('Rhaniad y Ddeiliadaeth (Cymru)'!$D$8="Amcangyfrifon LlC",'Incwm (Canol. &amp; De-orll)'!F38,'Incwm (Canol. &amp; De-orll)'!X38)</f>
        <v>24640.343566415613</v>
      </c>
      <c r="AF38" s="4">
        <f>IF('Rhaniad y Ddeiliadaeth (Cymru)'!$D$8="Amcangyfrifon LlC",'Incwm (Canol. &amp; De-orll)'!G38,'Incwm (Canol. &amp; De-orll)'!Y38)</f>
        <v>25512.658451127034</v>
      </c>
      <c r="AG38" s="4">
        <f>IF('Rhaniad y Ddeiliadaeth (Cymru)'!$D$8="Amcangyfrifon LlC",'Incwm (Canol. &amp; De-orll)'!H38,'Incwm (Canol. &amp; De-orll)'!Z38)</f>
        <v>26440.694871169711</v>
      </c>
    </row>
    <row r="39" spans="2:33" x14ac:dyDescent="0.25">
      <c r="B39" s="20">
        <v>45</v>
      </c>
      <c r="C39" s="56">
        <v>23025.25</v>
      </c>
      <c r="D39" s="57">
        <f>C39*(1+'Rhaniad y Ddeiliadaeth (C&amp;De-o)'!C$109)+(C$44*(-(50-$B39)*('Rhaniad y Ddeiliadaeth (C&amp;De-o)'!C$110/40)))</f>
        <v>23808.29761951304</v>
      </c>
      <c r="E39" s="57">
        <f>D39*(1+'Rhaniad y Ddeiliadaeth (C&amp;De-o)'!D$109)+(D$44*(-(50-$B39)*('Rhaniad y Ddeiliadaeth (C&amp;De-o)'!D$110/40)))</f>
        <v>24387.797118538248</v>
      </c>
      <c r="F39" s="57">
        <f>E39*(1+'Rhaniad y Ddeiliadaeth (C&amp;De-o)'!E$109)+(E$44*(-(50-$B39)*('Rhaniad y Ddeiliadaeth (C&amp;De-o)'!E$110/40)))</f>
        <v>25154.310817386391</v>
      </c>
      <c r="G39" s="57">
        <f>F39*(1+'Rhaniad y Ddeiliadaeth (C&amp;De-o)'!F$109)+(F$44*(-(50-$B39)*('Rhaniad y Ddeiliadaeth (C&amp;De-o)'!F$110/40)))</f>
        <v>26052.602159763886</v>
      </c>
      <c r="H39" s="58">
        <f>G39*(1+'Rhaniad y Ddeiliadaeth (C&amp;De-o)'!G$109)+(G$44*(-(50-$B39)*('Rhaniad y Ddeiliadaeth (C&amp;De-o)'!G$110/40)))</f>
        <v>27008.362050506992</v>
      </c>
      <c r="L39" s="62" t="str">
        <f t="shared" si="0"/>
        <v/>
      </c>
      <c r="M39" s="227"/>
      <c r="N39" s="14">
        <f t="shared" si="3"/>
        <v>1</v>
      </c>
      <c r="T39" s="1">
        <f t="shared" si="1"/>
        <v>45</v>
      </c>
      <c r="U39" s="4" t="str">
        <f t="shared" si="2"/>
        <v/>
      </c>
      <c r="V39" s="4" t="e">
        <f>IF($V$3=$M$3,M39,U39*(1+'Rhaniad y Ddeiliadaeth (C&amp;De-o)'!C$109)+(U$44*(-(50-$T39)*('Rhaniad y Ddeiliadaeth (C&amp;De-o)'!C$110/40))))</f>
        <v>#VALUE!</v>
      </c>
      <c r="W39" s="4" t="e">
        <f>V39*(1+'Rhaniad y Ddeiliadaeth (C&amp;De-o)'!D$109)+(V$44*(-(50-$T39)*('Rhaniad y Ddeiliadaeth (C&amp;De-o)'!D$110/40)))</f>
        <v>#VALUE!</v>
      </c>
      <c r="X39" s="4" t="e">
        <f>W39*(1+'Rhaniad y Ddeiliadaeth (C&amp;De-o)'!E$109)+(W$44*(-(50-$T39)*('Rhaniad y Ddeiliadaeth (C&amp;De-o)'!E$110/40)))</f>
        <v>#VALUE!</v>
      </c>
      <c r="Y39" s="4" t="e">
        <f>X39*(1+'Rhaniad y Ddeiliadaeth (C&amp;De-o)'!F$109)+(X$44*(-(50-$T39)*('Rhaniad y Ddeiliadaeth (C&amp;De-o)'!F$110/40)))</f>
        <v>#VALUE!</v>
      </c>
      <c r="Z39" s="4" t="e">
        <f>Y39*(1+'Rhaniad y Ddeiliadaeth (C&amp;De-o)'!G$109)+(Y$44*(-(50-$T39)*('Rhaniad y Ddeiliadaeth (C&amp;De-o)'!G$110/40)))</f>
        <v>#VALUE!</v>
      </c>
      <c r="AB39" s="1">
        <v>45</v>
      </c>
      <c r="AC39" s="4">
        <f>IF('Rhaniad y Ddeiliadaeth (Cymru)'!$D$8="Amcangyfrifon LlC",'Incwm (Canol. &amp; De-orll)'!D39,'Incwm (Canol. &amp; De-orll)'!V39)</f>
        <v>23808.29761951304</v>
      </c>
      <c r="AD39" s="4">
        <f>IF('Rhaniad y Ddeiliadaeth (Cymru)'!$D$8="Amcangyfrifon LlC",'Incwm (Canol. &amp; De-orll)'!E39,'Incwm (Canol. &amp; De-orll)'!W39)</f>
        <v>24387.797118538248</v>
      </c>
      <c r="AE39" s="4">
        <f>IF('Rhaniad y Ddeiliadaeth (Cymru)'!$D$8="Amcangyfrifon LlC",'Incwm (Canol. &amp; De-orll)'!F39,'Incwm (Canol. &amp; De-orll)'!X39)</f>
        <v>25154.310817386391</v>
      </c>
      <c r="AF39" s="4">
        <f>IF('Rhaniad y Ddeiliadaeth (Cymru)'!$D$8="Amcangyfrifon LlC",'Incwm (Canol. &amp; De-orll)'!G39,'Incwm (Canol. &amp; De-orll)'!Y39)</f>
        <v>26052.602159763886</v>
      </c>
      <c r="AG39" s="4">
        <f>IF('Rhaniad y Ddeiliadaeth (Cymru)'!$D$8="Amcangyfrifon LlC",'Incwm (Canol. &amp; De-orll)'!H39,'Incwm (Canol. &amp; De-orll)'!Z39)</f>
        <v>27008.362050506992</v>
      </c>
    </row>
    <row r="40" spans="2:33" x14ac:dyDescent="0.25">
      <c r="B40" s="20">
        <v>46</v>
      </c>
      <c r="C40" s="56">
        <v>23754.75</v>
      </c>
      <c r="D40" s="57">
        <f>C40*(1+'Rhaniad y Ddeiliadaeth (C&amp;De-o)'!C$109)+(C$44*(-(50-$B40)*('Rhaniad y Ddeiliadaeth (C&amp;De-o)'!C$110/40)))</f>
        <v>24569.910405571161</v>
      </c>
      <c r="E40" s="57">
        <f>D40*(1+'Rhaniad y Ddeiliadaeth (C&amp;De-o)'!D$109)+(D$44*(-(50-$B40)*('Rhaniad y Ddeiliadaeth (C&amp;De-o)'!D$110/40)))</f>
        <v>25175.519933330317</v>
      </c>
      <c r="F40" s="57">
        <f>E40*(1+'Rhaniad y Ddeiliadaeth (C&amp;De-o)'!E$109)+(E$44*(-(50-$B40)*('Rhaniad y Ddeiliadaeth (C&amp;De-o)'!E$110/40)))</f>
        <v>25974.569211115195</v>
      </c>
      <c r="G40" s="57">
        <f>F40*(1+'Rhaniad y Ddeiliadaeth (C&amp;De-o)'!F$109)+(F$44*(-(50-$B40)*('Rhaniad y Ddeiliadaeth (C&amp;De-o)'!F$110/40)))</f>
        <v>26910.196079319903</v>
      </c>
      <c r="H40" s="58">
        <f>G40*(1+'Rhaniad y Ddeiliadaeth (C&amp;De-o)'!G$109)+(G$44*(-(50-$B40)*('Rhaniad y Ddeiliadaeth (C&amp;De-o)'!G$110/40)))</f>
        <v>27905.769913948228</v>
      </c>
      <c r="L40" s="62" t="str">
        <f t="shared" si="0"/>
        <v/>
      </c>
      <c r="M40" s="227"/>
      <c r="N40" s="14">
        <f t="shared" si="3"/>
        <v>1</v>
      </c>
      <c r="T40" s="1">
        <f t="shared" si="1"/>
        <v>46</v>
      </c>
      <c r="U40" s="4" t="str">
        <f t="shared" si="2"/>
        <v/>
      </c>
      <c r="V40" s="4" t="e">
        <f>IF($V$3=$M$3,M40,U40*(1+'Rhaniad y Ddeiliadaeth (C&amp;De-o)'!C$109)+(U$44*(-(50-$T40)*('Rhaniad y Ddeiliadaeth (C&amp;De-o)'!C$110/40))))</f>
        <v>#VALUE!</v>
      </c>
      <c r="W40" s="4" t="e">
        <f>V40*(1+'Rhaniad y Ddeiliadaeth (C&amp;De-o)'!D$109)+(V$44*(-(50-$T40)*('Rhaniad y Ddeiliadaeth (C&amp;De-o)'!D$110/40)))</f>
        <v>#VALUE!</v>
      </c>
      <c r="X40" s="4" t="e">
        <f>W40*(1+'Rhaniad y Ddeiliadaeth (C&amp;De-o)'!E$109)+(W$44*(-(50-$T40)*('Rhaniad y Ddeiliadaeth (C&amp;De-o)'!E$110/40)))</f>
        <v>#VALUE!</v>
      </c>
      <c r="Y40" s="4" t="e">
        <f>X40*(1+'Rhaniad y Ddeiliadaeth (C&amp;De-o)'!F$109)+(X$44*(-(50-$T40)*('Rhaniad y Ddeiliadaeth (C&amp;De-o)'!F$110/40)))</f>
        <v>#VALUE!</v>
      </c>
      <c r="Z40" s="4" t="e">
        <f>Y40*(1+'Rhaniad y Ddeiliadaeth (C&amp;De-o)'!G$109)+(Y$44*(-(50-$T40)*('Rhaniad y Ddeiliadaeth (C&amp;De-o)'!G$110/40)))</f>
        <v>#VALUE!</v>
      </c>
      <c r="AB40" s="1">
        <v>46</v>
      </c>
      <c r="AC40" s="4">
        <f>IF('Rhaniad y Ddeiliadaeth (Cymru)'!$D$8="Amcangyfrifon LlC",'Incwm (Canol. &amp; De-orll)'!D40,'Incwm (Canol. &amp; De-orll)'!V40)</f>
        <v>24569.910405571161</v>
      </c>
      <c r="AD40" s="4">
        <f>IF('Rhaniad y Ddeiliadaeth (Cymru)'!$D$8="Amcangyfrifon LlC",'Incwm (Canol. &amp; De-orll)'!E40,'Incwm (Canol. &amp; De-orll)'!W40)</f>
        <v>25175.519933330317</v>
      </c>
      <c r="AE40" s="4">
        <f>IF('Rhaniad y Ddeiliadaeth (Cymru)'!$D$8="Amcangyfrifon LlC",'Incwm (Canol. &amp; De-orll)'!F40,'Incwm (Canol. &amp; De-orll)'!X40)</f>
        <v>25974.569211115195</v>
      </c>
      <c r="AF40" s="4">
        <f>IF('Rhaniad y Ddeiliadaeth (Cymru)'!$D$8="Amcangyfrifon LlC",'Incwm (Canol. &amp; De-orll)'!G40,'Incwm (Canol. &amp; De-orll)'!Y40)</f>
        <v>26910.196079319903</v>
      </c>
      <c r="AG40" s="4">
        <f>IF('Rhaniad y Ddeiliadaeth (Cymru)'!$D$8="Amcangyfrifon LlC",'Incwm (Canol. &amp; De-orll)'!H40,'Incwm (Canol. &amp; De-orll)'!Z40)</f>
        <v>27905.769913948228</v>
      </c>
    </row>
    <row r="41" spans="2:33" x14ac:dyDescent="0.25">
      <c r="B41" s="20">
        <v>47</v>
      </c>
      <c r="C41" s="56">
        <v>24131.5</v>
      </c>
      <c r="D41" s="57">
        <f>C41*(1+'Rhaniad y Ddeiliadaeth (C&amp;De-o)'!C$109)+(C$44*(-(50-$B41)*('Rhaniad y Ddeiliadaeth (C&amp;De-o)'!C$110/40)))</f>
        <v>24966.293826952104</v>
      </c>
      <c r="E41" s="57">
        <f>D41*(1+'Rhaniad y Ddeiliadaeth (C&amp;De-o)'!D$109)+(D$44*(-(50-$B41)*('Rhaniad y Ddeiliadaeth (C&amp;De-o)'!D$110/40)))</f>
        <v>25588.622900219416</v>
      </c>
      <c r="F41" s="57">
        <f>E41*(1+'Rhaniad y Ddeiliadaeth (C&amp;De-o)'!E$109)+(E$44*(-(50-$B41)*('Rhaniad y Ddeiliadaeth (C&amp;De-o)'!E$110/40)))</f>
        <v>26407.919097743219</v>
      </c>
      <c r="G41" s="57">
        <f>F41*(1+'Rhaniad y Ddeiliadaeth (C&amp;De-o)'!F$109)+(F$44*(-(50-$B41)*('Rhaniad y Ddeiliadaeth (C&amp;De-o)'!F$110/40)))</f>
        <v>27366.53265992611</v>
      </c>
      <c r="H41" s="58">
        <f>G41*(1+'Rhaniad y Ddeiliadaeth (C&amp;De-o)'!G$109)+(G$44*(-(50-$B41)*('Rhaniad y Ddeiliadaeth (C&amp;De-o)'!G$110/40)))</f>
        <v>28386.6476920979</v>
      </c>
      <c r="L41" s="62" t="str">
        <f t="shared" si="0"/>
        <v/>
      </c>
      <c r="M41" s="227"/>
      <c r="N41" s="14">
        <f t="shared" si="3"/>
        <v>1</v>
      </c>
      <c r="T41" s="1">
        <f t="shared" si="1"/>
        <v>47</v>
      </c>
      <c r="U41" s="4" t="str">
        <f t="shared" si="2"/>
        <v/>
      </c>
      <c r="V41" s="4" t="e">
        <f>IF($V$3=$M$3,M41,U41*(1+'Rhaniad y Ddeiliadaeth (C&amp;De-o)'!C$109)+(U$44*(-(50-$T41)*('Rhaniad y Ddeiliadaeth (C&amp;De-o)'!C$110/40))))</f>
        <v>#VALUE!</v>
      </c>
      <c r="W41" s="4" t="e">
        <f>V41*(1+'Rhaniad y Ddeiliadaeth (C&amp;De-o)'!D$109)+(V$44*(-(50-$T41)*('Rhaniad y Ddeiliadaeth (C&amp;De-o)'!D$110/40)))</f>
        <v>#VALUE!</v>
      </c>
      <c r="X41" s="4" t="e">
        <f>W41*(1+'Rhaniad y Ddeiliadaeth (C&amp;De-o)'!E$109)+(W$44*(-(50-$T41)*('Rhaniad y Ddeiliadaeth (C&amp;De-o)'!E$110/40)))</f>
        <v>#VALUE!</v>
      </c>
      <c r="Y41" s="4" t="e">
        <f>X41*(1+'Rhaniad y Ddeiliadaeth (C&amp;De-o)'!F$109)+(X$44*(-(50-$T41)*('Rhaniad y Ddeiliadaeth (C&amp;De-o)'!F$110/40)))</f>
        <v>#VALUE!</v>
      </c>
      <c r="Z41" s="4" t="e">
        <f>Y41*(1+'Rhaniad y Ddeiliadaeth (C&amp;De-o)'!G$109)+(Y$44*(-(50-$T41)*('Rhaniad y Ddeiliadaeth (C&amp;De-o)'!G$110/40)))</f>
        <v>#VALUE!</v>
      </c>
      <c r="AB41" s="1">
        <v>47</v>
      </c>
      <c r="AC41" s="4">
        <f>IF('Rhaniad y Ddeiliadaeth (Cymru)'!$D$8="Amcangyfrifon LlC",'Incwm (Canol. &amp; De-orll)'!D41,'Incwm (Canol. &amp; De-orll)'!V41)</f>
        <v>24966.293826952104</v>
      </c>
      <c r="AD41" s="4">
        <f>IF('Rhaniad y Ddeiliadaeth (Cymru)'!$D$8="Amcangyfrifon LlC",'Incwm (Canol. &amp; De-orll)'!E41,'Incwm (Canol. &amp; De-orll)'!W41)</f>
        <v>25588.622900219416</v>
      </c>
      <c r="AE41" s="4">
        <f>IF('Rhaniad y Ddeiliadaeth (Cymru)'!$D$8="Amcangyfrifon LlC",'Incwm (Canol. &amp; De-orll)'!F41,'Incwm (Canol. &amp; De-orll)'!X41)</f>
        <v>26407.919097743219</v>
      </c>
      <c r="AF41" s="4">
        <f>IF('Rhaniad y Ddeiliadaeth (Cymru)'!$D$8="Amcangyfrifon LlC",'Incwm (Canol. &amp; De-orll)'!G41,'Incwm (Canol. &amp; De-orll)'!Y41)</f>
        <v>27366.53265992611</v>
      </c>
      <c r="AG41" s="4">
        <f>IF('Rhaniad y Ddeiliadaeth (Cymru)'!$D$8="Amcangyfrifon LlC",'Incwm (Canol. &amp; De-orll)'!H41,'Incwm (Canol. &amp; De-orll)'!Z41)</f>
        <v>28386.6476920979</v>
      </c>
    </row>
    <row r="42" spans="2:33" x14ac:dyDescent="0.25">
      <c r="B42" s="20">
        <v>48</v>
      </c>
      <c r="C42" s="56">
        <v>24642.85</v>
      </c>
      <c r="D42" s="57">
        <f>C42*(1+'Rhaniad y Ddeiliadaeth (C&amp;De-o)'!C$109)+(C$44*(-(50-$B42)*('Rhaniad y Ddeiliadaeth (C&amp;De-o)'!C$110/40)))</f>
        <v>25502.039041346648</v>
      </c>
      <c r="E42" s="57">
        <f>D42*(1+'Rhaniad y Ddeiliadaeth (C&amp;De-o)'!D$109)+(D$44*(-(50-$B42)*('Rhaniad y Ddeiliadaeth (C&amp;De-o)'!D$110/40)))</f>
        <v>26144.67081828566</v>
      </c>
      <c r="F42" s="57">
        <f>E42*(1+'Rhaniad y Ddeiliadaeth (C&amp;De-o)'!E$109)+(E$44*(-(50-$B42)*('Rhaniad y Ddeiliadaeth (C&amp;De-o)'!E$110/40)))</f>
        <v>26988.902960432941</v>
      </c>
      <c r="G42" s="57">
        <f>F42*(1+'Rhaniad y Ddeiliadaeth (C&amp;De-o)'!F$109)+(F$44*(-(50-$B42)*('Rhaniad y Ddeiliadaeth (C&amp;De-o)'!F$110/40)))</f>
        <v>27975.978348463268</v>
      </c>
      <c r="H42" s="58">
        <f>G42*(1+'Rhaniad y Ddeiliadaeth (C&amp;De-o)'!G$109)+(G$44*(-(50-$B42)*('Rhaniad y Ddeiliadaeth (C&amp;De-o)'!G$110/40)))</f>
        <v>29026.462251197943</v>
      </c>
      <c r="L42" s="62" t="str">
        <f t="shared" si="0"/>
        <v/>
      </c>
      <c r="M42" s="227"/>
      <c r="N42" s="14">
        <f t="shared" si="3"/>
        <v>1</v>
      </c>
      <c r="T42" s="1">
        <f t="shared" si="1"/>
        <v>48</v>
      </c>
      <c r="U42" s="4" t="str">
        <f t="shared" si="2"/>
        <v/>
      </c>
      <c r="V42" s="4" t="e">
        <f>IF($V$3=$M$3,M42,U42*(1+'Rhaniad y Ddeiliadaeth (C&amp;De-o)'!C$109)+(U$44*(-(50-$T42)*('Rhaniad y Ddeiliadaeth (C&amp;De-o)'!C$110/40))))</f>
        <v>#VALUE!</v>
      </c>
      <c r="W42" s="4" t="e">
        <f>V42*(1+'Rhaniad y Ddeiliadaeth (C&amp;De-o)'!D$109)+(V$44*(-(50-$T42)*('Rhaniad y Ddeiliadaeth (C&amp;De-o)'!D$110/40)))</f>
        <v>#VALUE!</v>
      </c>
      <c r="X42" s="4" t="e">
        <f>W42*(1+'Rhaniad y Ddeiliadaeth (C&amp;De-o)'!E$109)+(W$44*(-(50-$T42)*('Rhaniad y Ddeiliadaeth (C&amp;De-o)'!E$110/40)))</f>
        <v>#VALUE!</v>
      </c>
      <c r="Y42" s="4" t="e">
        <f>X42*(1+'Rhaniad y Ddeiliadaeth (C&amp;De-o)'!F$109)+(X$44*(-(50-$T42)*('Rhaniad y Ddeiliadaeth (C&amp;De-o)'!F$110/40)))</f>
        <v>#VALUE!</v>
      </c>
      <c r="Z42" s="4" t="e">
        <f>Y42*(1+'Rhaniad y Ddeiliadaeth (C&amp;De-o)'!G$109)+(Y$44*(-(50-$T42)*('Rhaniad y Ddeiliadaeth (C&amp;De-o)'!G$110/40)))</f>
        <v>#VALUE!</v>
      </c>
      <c r="AB42" s="1">
        <v>48</v>
      </c>
      <c r="AC42" s="4">
        <f>IF('Rhaniad y Ddeiliadaeth (Cymru)'!$D$8="Amcangyfrifon LlC",'Incwm (Canol. &amp; De-orll)'!D42,'Incwm (Canol. &amp; De-orll)'!V42)</f>
        <v>25502.039041346648</v>
      </c>
      <c r="AD42" s="4">
        <f>IF('Rhaniad y Ddeiliadaeth (Cymru)'!$D$8="Amcangyfrifon LlC",'Incwm (Canol. &amp; De-orll)'!E42,'Incwm (Canol. &amp; De-orll)'!W42)</f>
        <v>26144.67081828566</v>
      </c>
      <c r="AE42" s="4">
        <f>IF('Rhaniad y Ddeiliadaeth (Cymru)'!$D$8="Amcangyfrifon LlC",'Incwm (Canol. &amp; De-orll)'!F42,'Incwm (Canol. &amp; De-orll)'!X42)</f>
        <v>26988.902960432941</v>
      </c>
      <c r="AF42" s="4">
        <f>IF('Rhaniad y Ddeiliadaeth (Cymru)'!$D$8="Amcangyfrifon LlC",'Incwm (Canol. &amp; De-orll)'!G42,'Incwm (Canol. &amp; De-orll)'!Y42)</f>
        <v>27975.978348463268</v>
      </c>
      <c r="AG42" s="4">
        <f>IF('Rhaniad y Ddeiliadaeth (Cymru)'!$D$8="Amcangyfrifon LlC",'Incwm (Canol. &amp; De-orll)'!H42,'Incwm (Canol. &amp; De-orll)'!Z42)</f>
        <v>29026.462251197943</v>
      </c>
    </row>
    <row r="43" spans="2:33" x14ac:dyDescent="0.25">
      <c r="B43" s="20">
        <v>49</v>
      </c>
      <c r="C43" s="56">
        <v>24932.5</v>
      </c>
      <c r="D43" s="57">
        <f>C43*(1+'Rhaniad y Ddeiliadaeth (C&amp;De-o)'!C$109)+(C$44*(-(50-$B43)*('Rhaniad y Ddeiliadaeth (C&amp;De-o)'!C$110/40)))</f>
        <v>25808.241094440189</v>
      </c>
      <c r="E43" s="57">
        <f>D43*(1+'Rhaniad y Ddeiliadaeth (C&amp;De-o)'!D$109)+(D$44*(-(50-$B43)*('Rhaniad y Ddeiliadaeth (C&amp;De-o)'!D$110/40)))</f>
        <v>26465.273746188657</v>
      </c>
      <c r="F43" s="57">
        <f>E43*(1+'Rhaniad y Ddeiliadaeth (C&amp;De-o)'!E$109)+(E$44*(-(50-$B43)*('Rhaniad y Ddeiliadaeth (C&amp;De-o)'!E$110/40)))</f>
        <v>27326.718528227582</v>
      </c>
      <c r="G43" s="57">
        <f>F43*(1+'Rhaniad y Ddeiliadaeth (C&amp;De-o)'!F$109)+(F$44*(-(50-$B43)*('Rhaniad y Ddeiliadaeth (C&amp;De-o)'!F$110/40)))</f>
        <v>28333.23763857329</v>
      </c>
      <c r="H43" s="58">
        <f>G43*(1+'Rhaniad y Ddeiliadaeth (C&amp;De-o)'!G$109)+(G$44*(-(50-$B43)*('Rhaniad y Ddeiliadaeth (C&amp;De-o)'!G$110/40)))</f>
        <v>29404.491636919836</v>
      </c>
      <c r="L43" s="62" t="str">
        <f t="shared" si="0"/>
        <v/>
      </c>
      <c r="M43" s="227"/>
      <c r="N43" s="14">
        <f t="shared" si="3"/>
        <v>1</v>
      </c>
      <c r="T43" s="1">
        <f t="shared" si="1"/>
        <v>49</v>
      </c>
      <c r="U43" s="4" t="str">
        <f t="shared" si="2"/>
        <v/>
      </c>
      <c r="V43" s="4" t="e">
        <f>IF($V$3=$M$3,M43,U43*(1+'Rhaniad y Ddeiliadaeth (C&amp;De-o)'!C$109)+(U$44*(-(50-$T43)*('Rhaniad y Ddeiliadaeth (C&amp;De-o)'!C$110/40))))</f>
        <v>#VALUE!</v>
      </c>
      <c r="W43" s="4" t="e">
        <f>V43*(1+'Rhaniad y Ddeiliadaeth (C&amp;De-o)'!D$109)+(V$44*(-(50-$T43)*('Rhaniad y Ddeiliadaeth (C&amp;De-o)'!D$110/40)))</f>
        <v>#VALUE!</v>
      </c>
      <c r="X43" s="4" t="e">
        <f>W43*(1+'Rhaniad y Ddeiliadaeth (C&amp;De-o)'!E$109)+(W$44*(-(50-$T43)*('Rhaniad y Ddeiliadaeth (C&amp;De-o)'!E$110/40)))</f>
        <v>#VALUE!</v>
      </c>
      <c r="Y43" s="4" t="e">
        <f>X43*(1+'Rhaniad y Ddeiliadaeth (C&amp;De-o)'!F$109)+(X$44*(-(50-$T43)*('Rhaniad y Ddeiliadaeth (C&amp;De-o)'!F$110/40)))</f>
        <v>#VALUE!</v>
      </c>
      <c r="Z43" s="4" t="e">
        <f>Y43*(1+'Rhaniad y Ddeiliadaeth (C&amp;De-o)'!G$109)+(Y$44*(-(50-$T43)*('Rhaniad y Ddeiliadaeth (C&amp;De-o)'!G$110/40)))</f>
        <v>#VALUE!</v>
      </c>
      <c r="AB43" s="1">
        <v>49</v>
      </c>
      <c r="AC43" s="4">
        <f>IF('Rhaniad y Ddeiliadaeth (Cymru)'!$D$8="Amcangyfrifon LlC",'Incwm (Canol. &amp; De-orll)'!D43,'Incwm (Canol. &amp; De-orll)'!V43)</f>
        <v>25808.241094440189</v>
      </c>
      <c r="AD43" s="4">
        <f>IF('Rhaniad y Ddeiliadaeth (Cymru)'!$D$8="Amcangyfrifon LlC",'Incwm (Canol. &amp; De-orll)'!E43,'Incwm (Canol. &amp; De-orll)'!W43)</f>
        <v>26465.273746188657</v>
      </c>
      <c r="AE43" s="4">
        <f>IF('Rhaniad y Ddeiliadaeth (Cymru)'!$D$8="Amcangyfrifon LlC",'Incwm (Canol. &amp; De-orll)'!F43,'Incwm (Canol. &amp; De-orll)'!X43)</f>
        <v>27326.718528227582</v>
      </c>
      <c r="AF43" s="4">
        <f>IF('Rhaniad y Ddeiliadaeth (Cymru)'!$D$8="Amcangyfrifon LlC",'Incwm (Canol. &amp; De-orll)'!G43,'Incwm (Canol. &amp; De-orll)'!Y43)</f>
        <v>28333.23763857329</v>
      </c>
      <c r="AG43" s="4">
        <f>IF('Rhaniad y Ddeiliadaeth (Cymru)'!$D$8="Amcangyfrifon LlC",'Incwm (Canol. &amp; De-orll)'!H43,'Incwm (Canol. &amp; De-orll)'!Z43)</f>
        <v>29404.491636919836</v>
      </c>
    </row>
    <row r="44" spans="2:33" x14ac:dyDescent="0.25">
      <c r="B44" s="20">
        <v>50</v>
      </c>
      <c r="C44" s="56">
        <v>25220</v>
      </c>
      <c r="D44" s="57">
        <f>C44*(1+'Rhaniad y Ddeiliadaeth (C&amp;De-o)'!C$109)+(C$44*(-(50-$B44)*('Rhaniad y Ddeiliadaeth (C&amp;De-o)'!C$110/40)))</f>
        <v>26112.217086204011</v>
      </c>
      <c r="E44" s="57">
        <f>D44*(1+'Rhaniad y Ddeiliadaeth (C&amp;De-o)'!D$109)+(D$44*(-(50-$B44)*('Rhaniad y Ddeiliadaeth (C&amp;De-o)'!D$110/40)))</f>
        <v>26783.593378066158</v>
      </c>
      <c r="F44" s="57">
        <f>E44*(1+'Rhaniad y Ddeiliadaeth (C&amp;De-o)'!E$109)+(E$44*(-(50-$B44)*('Rhaniad y Ddeiliadaeth (C&amp;De-o)'!E$110/40)))</f>
        <v>27662.175901010829</v>
      </c>
      <c r="G44" s="57">
        <f>F44*(1+'Rhaniad y Ddeiliadaeth (C&amp;De-o)'!F$109)+(F$44*(-(50-$B44)*('Rhaniad y Ddeiliadaeth (C&amp;De-o)'!F$110/40)))</f>
        <v>28688.051277999421</v>
      </c>
      <c r="H44" s="58">
        <f>G44*(1+'Rhaniad y Ddeiliadaeth (C&amp;De-o)'!G$109)+(G$44*(-(50-$B44)*('Rhaniad y Ddeiliadaeth (C&amp;De-o)'!G$110/40)))</f>
        <v>29779.982285055976</v>
      </c>
      <c r="L44" s="62" t="str">
        <f t="shared" si="0"/>
        <v/>
      </c>
      <c r="M44" s="227"/>
      <c r="N44" s="14">
        <f t="shared" si="3"/>
        <v>1</v>
      </c>
      <c r="T44" s="1">
        <f t="shared" si="1"/>
        <v>50</v>
      </c>
      <c r="U44" s="4" t="str">
        <f t="shared" si="2"/>
        <v/>
      </c>
      <c r="V44" s="4" t="e">
        <f>IF($V$3=$M$3,M44,U44*(1+'Rhaniad y Ddeiliadaeth (C&amp;De-o)'!C$109)+(U$44*(-(50-$T44)*('Rhaniad y Ddeiliadaeth (C&amp;De-o)'!C$110/40))))</f>
        <v>#VALUE!</v>
      </c>
      <c r="W44" s="4" t="e">
        <f>V44*(1+'Rhaniad y Ddeiliadaeth (C&amp;De-o)'!D$109)+(V$44*(-(50-$T44)*('Rhaniad y Ddeiliadaeth (C&amp;De-o)'!D$110/40)))</f>
        <v>#VALUE!</v>
      </c>
      <c r="X44" s="4" t="e">
        <f>W44*(1+'Rhaniad y Ddeiliadaeth (C&amp;De-o)'!E$109)+(W$44*(-(50-$T44)*('Rhaniad y Ddeiliadaeth (C&amp;De-o)'!E$110/40)))</f>
        <v>#VALUE!</v>
      </c>
      <c r="Y44" s="4" t="e">
        <f>X44*(1+'Rhaniad y Ddeiliadaeth (C&amp;De-o)'!F$109)+(X$44*(-(50-$T44)*('Rhaniad y Ddeiliadaeth (C&amp;De-o)'!F$110/40)))</f>
        <v>#VALUE!</v>
      </c>
      <c r="Z44" s="4" t="e">
        <f>Y44*(1+'Rhaniad y Ddeiliadaeth (C&amp;De-o)'!G$109)+(Y$44*(-(50-$T44)*('Rhaniad y Ddeiliadaeth (C&amp;De-o)'!G$110/40)))</f>
        <v>#VALUE!</v>
      </c>
      <c r="AB44" s="1">
        <v>50</v>
      </c>
      <c r="AC44" s="4">
        <f>IF('Rhaniad y Ddeiliadaeth (Cymru)'!$D$8="Amcangyfrifon LlC",'Incwm (Canol. &amp; De-orll)'!D44,'Incwm (Canol. &amp; De-orll)'!V44)</f>
        <v>26112.217086204011</v>
      </c>
      <c r="AD44" s="4">
        <f>IF('Rhaniad y Ddeiliadaeth (Cymru)'!$D$8="Amcangyfrifon LlC",'Incwm (Canol. &amp; De-orll)'!E44,'Incwm (Canol. &amp; De-orll)'!W44)</f>
        <v>26783.593378066158</v>
      </c>
      <c r="AE44" s="4">
        <f>IF('Rhaniad y Ddeiliadaeth (Cymru)'!$D$8="Amcangyfrifon LlC",'Incwm (Canol. &amp; De-orll)'!F44,'Incwm (Canol. &amp; De-orll)'!X44)</f>
        <v>27662.175901010829</v>
      </c>
      <c r="AF44" s="4">
        <f>IF('Rhaniad y Ddeiliadaeth (Cymru)'!$D$8="Amcangyfrifon LlC",'Incwm (Canol. &amp; De-orll)'!G44,'Incwm (Canol. &amp; De-orll)'!Y44)</f>
        <v>28688.051277999421</v>
      </c>
      <c r="AG44" s="4">
        <f>IF('Rhaniad y Ddeiliadaeth (Cymru)'!$D$8="Amcangyfrifon LlC",'Incwm (Canol. &amp; De-orll)'!H44,'Incwm (Canol. &amp; De-orll)'!Z44)</f>
        <v>29779.982285055976</v>
      </c>
    </row>
    <row r="45" spans="2:33" x14ac:dyDescent="0.25">
      <c r="B45" s="20">
        <v>51</v>
      </c>
      <c r="C45" s="56">
        <v>25646.93</v>
      </c>
      <c r="D45" s="57">
        <f>C45*(1+'Rhaniad y Ddeiliadaeth (C&amp;De-o)'!C$109)+(C$44*(-(50-$B45)*('Rhaniad y Ddeiliadaeth (C&amp;De-o)'!C$110/40)))</f>
        <v>26560.555743643072</v>
      </c>
      <c r="E45" s="57">
        <f>D45*(1+'Rhaniad y Ddeiliadaeth (C&amp;De-o)'!D$109)+(D$44*(-(50-$B45)*('Rhaniad y Ddeiliadaeth (C&amp;De-o)'!D$110/40)))</f>
        <v>27249.987412192029</v>
      </c>
      <c r="F45" s="57">
        <f>E45*(1+'Rhaniad y Ddeiliadaeth (C&amp;De-o)'!E$109)+(E$44*(-(50-$B45)*('Rhaniad y Ddeiliadaeth (C&amp;De-o)'!E$110/40)))</f>
        <v>28150.564962369735</v>
      </c>
      <c r="G45" s="57">
        <f>F45*(1+'Rhaniad y Ddeiliadaeth (C&amp;De-o)'!F$109)+(F$44*(-(50-$B45)*('Rhaniad y Ddeiliadaeth (C&amp;De-o)'!F$110/40)))</f>
        <v>29201.46820805567</v>
      </c>
      <c r="H45" s="58">
        <f>G45*(1+'Rhaniad y Ddeiliadaeth (C&amp;De-o)'!G$109)+(G$44*(-(50-$B45)*('Rhaniad y Ddeiliadaeth (C&amp;De-o)'!G$110/40)))</f>
        <v>30320.11301764911</v>
      </c>
      <c r="L45" s="62" t="str">
        <f t="shared" si="0"/>
        <v/>
      </c>
      <c r="M45" s="227"/>
      <c r="N45" s="14">
        <f t="shared" si="3"/>
        <v>1</v>
      </c>
      <c r="T45" s="1">
        <f t="shared" si="1"/>
        <v>51</v>
      </c>
      <c r="U45" s="4" t="str">
        <f t="shared" si="2"/>
        <v/>
      </c>
      <c r="V45" s="4" t="e">
        <f>IF($V$3=$M$3,M45,U45*(1+'Rhaniad y Ddeiliadaeth (C&amp;De-o)'!C$109)+(U$44*(-(50-$T45)*('Rhaniad y Ddeiliadaeth (C&amp;De-o)'!C$110/40))))</f>
        <v>#VALUE!</v>
      </c>
      <c r="W45" s="4" t="e">
        <f>V45*(1+'Rhaniad y Ddeiliadaeth (C&amp;De-o)'!D$109)+(V$44*(-(50-$T45)*('Rhaniad y Ddeiliadaeth (C&amp;De-o)'!D$110/40)))</f>
        <v>#VALUE!</v>
      </c>
      <c r="X45" s="4" t="e">
        <f>W45*(1+'Rhaniad y Ddeiliadaeth (C&amp;De-o)'!E$109)+(W$44*(-(50-$T45)*('Rhaniad y Ddeiliadaeth (C&amp;De-o)'!E$110/40)))</f>
        <v>#VALUE!</v>
      </c>
      <c r="Y45" s="4" t="e">
        <f>X45*(1+'Rhaniad y Ddeiliadaeth (C&amp;De-o)'!F$109)+(X$44*(-(50-$T45)*('Rhaniad y Ddeiliadaeth (C&amp;De-o)'!F$110/40)))</f>
        <v>#VALUE!</v>
      </c>
      <c r="Z45" s="4" t="e">
        <f>Y45*(1+'Rhaniad y Ddeiliadaeth (C&amp;De-o)'!G$109)+(Y$44*(-(50-$T45)*('Rhaniad y Ddeiliadaeth (C&amp;De-o)'!G$110/40)))</f>
        <v>#VALUE!</v>
      </c>
      <c r="AB45" s="1">
        <v>51</v>
      </c>
      <c r="AC45" s="4">
        <f>IF('Rhaniad y Ddeiliadaeth (Cymru)'!$D$8="Amcangyfrifon LlC",'Incwm (Canol. &amp; De-orll)'!D45,'Incwm (Canol. &amp; De-orll)'!V45)</f>
        <v>26560.555743643072</v>
      </c>
      <c r="AD45" s="4">
        <f>IF('Rhaniad y Ddeiliadaeth (Cymru)'!$D$8="Amcangyfrifon LlC",'Incwm (Canol. &amp; De-orll)'!E45,'Incwm (Canol. &amp; De-orll)'!W45)</f>
        <v>27249.987412192029</v>
      </c>
      <c r="AE45" s="4">
        <f>IF('Rhaniad y Ddeiliadaeth (Cymru)'!$D$8="Amcangyfrifon LlC",'Incwm (Canol. &amp; De-orll)'!F45,'Incwm (Canol. &amp; De-orll)'!X45)</f>
        <v>28150.564962369735</v>
      </c>
      <c r="AF45" s="4">
        <f>IF('Rhaniad y Ddeiliadaeth (Cymru)'!$D$8="Amcangyfrifon LlC",'Incwm (Canol. &amp; De-orll)'!G45,'Incwm (Canol. &amp; De-orll)'!Y45)</f>
        <v>29201.46820805567</v>
      </c>
      <c r="AG45" s="4">
        <f>IF('Rhaniad y Ddeiliadaeth (Cymru)'!$D$8="Amcangyfrifon LlC",'Incwm (Canol. &amp; De-orll)'!H45,'Incwm (Canol. &amp; De-orll)'!Z45)</f>
        <v>30320.11301764911</v>
      </c>
    </row>
    <row r="46" spans="2:33" x14ac:dyDescent="0.25">
      <c r="B46" s="20">
        <v>52</v>
      </c>
      <c r="C46" s="56">
        <v>26131.3</v>
      </c>
      <c r="D46" s="57">
        <f>C46*(1+'Rhaniad y Ddeiliadaeth (C&amp;De-o)'!C$109)+(C$44*(-(50-$B46)*('Rhaniad y Ddeiliadaeth (C&amp;De-o)'!C$110/40)))</f>
        <v>27068.366476793137</v>
      </c>
      <c r="E46" s="57">
        <f>D46*(1+'Rhaniad y Ddeiliadaeth (C&amp;De-o)'!D$109)+(D$44*(-(50-$B46)*('Rhaniad y Ddeiliadaeth (C&amp;De-o)'!D$110/40)))</f>
        <v>27777.382620133765</v>
      </c>
      <c r="F46" s="57">
        <f>E46*(1+'Rhaniad y Ddeiliadaeth (C&amp;De-o)'!E$109)+(E$44*(-(50-$B46)*('Rhaniad y Ddeiliadaeth (C&amp;De-o)'!E$110/40)))</f>
        <v>28701.956219753778</v>
      </c>
      <c r="G46" s="57">
        <f>F46*(1+'Rhaniad y Ddeiliadaeth (C&amp;De-o)'!F$109)+(F$44*(-(50-$B46)*('Rhaniad y Ddeiliadaeth (C&amp;De-o)'!F$110/40)))</f>
        <v>29780.223824289875</v>
      </c>
      <c r="H46" s="58">
        <f>G46*(1+'Rhaniad y Ddeiliadaeth (C&amp;De-o)'!G$109)+(G$44*(-(50-$B46)*('Rhaniad y Ddeiliadaeth (C&amp;De-o)'!G$110/40)))</f>
        <v>30928.069372068305</v>
      </c>
      <c r="L46" s="62" t="str">
        <f t="shared" si="0"/>
        <v/>
      </c>
      <c r="M46" s="227"/>
      <c r="N46" s="14">
        <f t="shared" si="3"/>
        <v>1</v>
      </c>
      <c r="T46" s="1">
        <f t="shared" si="1"/>
        <v>52</v>
      </c>
      <c r="U46" s="4" t="str">
        <f t="shared" si="2"/>
        <v/>
      </c>
      <c r="V46" s="4" t="e">
        <f>IF($V$3=$M$3,M46,U46*(1+'Rhaniad y Ddeiliadaeth (C&amp;De-o)'!C$109)+(U$44*(-(50-$T46)*('Rhaniad y Ddeiliadaeth (C&amp;De-o)'!C$110/40))))</f>
        <v>#VALUE!</v>
      </c>
      <c r="W46" s="4" t="e">
        <f>V46*(1+'Rhaniad y Ddeiliadaeth (C&amp;De-o)'!D$109)+(V$44*(-(50-$T46)*('Rhaniad y Ddeiliadaeth (C&amp;De-o)'!D$110/40)))</f>
        <v>#VALUE!</v>
      </c>
      <c r="X46" s="4" t="e">
        <f>W46*(1+'Rhaniad y Ddeiliadaeth (C&amp;De-o)'!E$109)+(W$44*(-(50-$T46)*('Rhaniad y Ddeiliadaeth (C&amp;De-o)'!E$110/40)))</f>
        <v>#VALUE!</v>
      </c>
      <c r="Y46" s="4" t="e">
        <f>X46*(1+'Rhaniad y Ddeiliadaeth (C&amp;De-o)'!F$109)+(X$44*(-(50-$T46)*('Rhaniad y Ddeiliadaeth (C&amp;De-o)'!F$110/40)))</f>
        <v>#VALUE!</v>
      </c>
      <c r="Z46" s="4" t="e">
        <f>Y46*(1+'Rhaniad y Ddeiliadaeth (C&amp;De-o)'!G$109)+(Y$44*(-(50-$T46)*('Rhaniad y Ddeiliadaeth (C&amp;De-o)'!G$110/40)))</f>
        <v>#VALUE!</v>
      </c>
      <c r="AB46" s="1">
        <v>52</v>
      </c>
      <c r="AC46" s="4">
        <f>IF('Rhaniad y Ddeiliadaeth (Cymru)'!$D$8="Amcangyfrifon LlC",'Incwm (Canol. &amp; De-orll)'!D46,'Incwm (Canol. &amp; De-orll)'!V46)</f>
        <v>27068.366476793137</v>
      </c>
      <c r="AD46" s="4">
        <f>IF('Rhaniad y Ddeiliadaeth (Cymru)'!$D$8="Amcangyfrifon LlC",'Incwm (Canol. &amp; De-orll)'!E46,'Incwm (Canol. &amp; De-orll)'!W46)</f>
        <v>27777.382620133765</v>
      </c>
      <c r="AE46" s="4">
        <f>IF('Rhaniad y Ddeiliadaeth (Cymru)'!$D$8="Amcangyfrifon LlC",'Incwm (Canol. &amp; De-orll)'!F46,'Incwm (Canol. &amp; De-orll)'!X46)</f>
        <v>28701.956219753778</v>
      </c>
      <c r="AF46" s="4">
        <f>IF('Rhaniad y Ddeiliadaeth (Cymru)'!$D$8="Amcangyfrifon LlC",'Incwm (Canol. &amp; De-orll)'!G46,'Incwm (Canol. &amp; De-orll)'!Y46)</f>
        <v>29780.223824289875</v>
      </c>
      <c r="AG46" s="4">
        <f>IF('Rhaniad y Ddeiliadaeth (Cymru)'!$D$8="Amcangyfrifon LlC",'Incwm (Canol. &amp; De-orll)'!H46,'Incwm (Canol. &amp; De-orll)'!Z46)</f>
        <v>30928.069372068305</v>
      </c>
    </row>
    <row r="47" spans="2:33" x14ac:dyDescent="0.25">
      <c r="B47" s="20">
        <v>53</v>
      </c>
      <c r="C47" s="56">
        <v>26545.599999999999</v>
      </c>
      <c r="D47" s="57">
        <f>C47*(1+'Rhaniad y Ddeiliadaeth (C&amp;De-o)'!C$109)+(C$44*(-(50-$B47)*('Rhaniad y Ddeiliadaeth (C&amp;De-o)'!C$110/40)))</f>
        <v>27503.62831814184</v>
      </c>
      <c r="E47" s="57">
        <f>D47*(1+'Rhaniad y Ddeiliadaeth (C&amp;De-o)'!D$109)+(D$44*(-(50-$B47)*('Rhaniad y Ddeiliadaeth (C&amp;De-o)'!D$110/40)))</f>
        <v>28230.363617607571</v>
      </c>
      <c r="F47" s="57">
        <f>E47*(1+'Rhaniad y Ddeiliadaeth (C&amp;De-o)'!E$109)+(E$44*(-(50-$B47)*('Rhaniad y Ddeiliadaeth (C&amp;De-o)'!E$110/40)))</f>
        <v>29176.492256464393</v>
      </c>
      <c r="G47" s="57">
        <f>F47*(1+'Rhaniad y Ddeiliadaeth (C&amp;De-o)'!F$109)+(F$44*(-(50-$B47)*('Rhaniad y Ddeiliadaeth (C&amp;De-o)'!F$110/40)))</f>
        <v>30279.273978468202</v>
      </c>
      <c r="H47" s="58">
        <f>G47*(1+'Rhaniad y Ddeiliadaeth (C&amp;De-o)'!G$109)+(G$44*(-(50-$B47)*('Rhaniad y Ddeiliadaeth (C&amp;De-o)'!G$110/40)))</f>
        <v>31453.286497355322</v>
      </c>
      <c r="L47" s="62" t="str">
        <f t="shared" si="0"/>
        <v/>
      </c>
      <c r="M47" s="227"/>
      <c r="N47" s="14">
        <f t="shared" si="3"/>
        <v>1</v>
      </c>
      <c r="T47" s="1">
        <f t="shared" si="1"/>
        <v>53</v>
      </c>
      <c r="U47" s="4" t="str">
        <f t="shared" si="2"/>
        <v/>
      </c>
      <c r="V47" s="4" t="e">
        <f>IF($V$3=$M$3,M47,U47*(1+'Rhaniad y Ddeiliadaeth (C&amp;De-o)'!C$109)+(U$44*(-(50-$T47)*('Rhaniad y Ddeiliadaeth (C&amp;De-o)'!C$110/40))))</f>
        <v>#VALUE!</v>
      </c>
      <c r="W47" s="4" t="e">
        <f>V47*(1+'Rhaniad y Ddeiliadaeth (C&amp;De-o)'!D$109)+(V$44*(-(50-$T47)*('Rhaniad y Ddeiliadaeth (C&amp;De-o)'!D$110/40)))</f>
        <v>#VALUE!</v>
      </c>
      <c r="X47" s="4" t="e">
        <f>W47*(1+'Rhaniad y Ddeiliadaeth (C&amp;De-o)'!E$109)+(W$44*(-(50-$T47)*('Rhaniad y Ddeiliadaeth (C&amp;De-o)'!E$110/40)))</f>
        <v>#VALUE!</v>
      </c>
      <c r="Y47" s="4" t="e">
        <f>X47*(1+'Rhaniad y Ddeiliadaeth (C&amp;De-o)'!F$109)+(X$44*(-(50-$T47)*('Rhaniad y Ddeiliadaeth (C&amp;De-o)'!F$110/40)))</f>
        <v>#VALUE!</v>
      </c>
      <c r="Z47" s="4" t="e">
        <f>Y47*(1+'Rhaniad y Ddeiliadaeth (C&amp;De-o)'!G$109)+(Y$44*(-(50-$T47)*('Rhaniad y Ddeiliadaeth (C&amp;De-o)'!G$110/40)))</f>
        <v>#VALUE!</v>
      </c>
      <c r="AB47" s="1">
        <v>53</v>
      </c>
      <c r="AC47" s="4">
        <f>IF('Rhaniad y Ddeiliadaeth (Cymru)'!$D$8="Amcangyfrifon LlC",'Incwm (Canol. &amp; De-orll)'!D47,'Incwm (Canol. &amp; De-orll)'!V47)</f>
        <v>27503.62831814184</v>
      </c>
      <c r="AD47" s="4">
        <f>IF('Rhaniad y Ddeiliadaeth (Cymru)'!$D$8="Amcangyfrifon LlC",'Incwm (Canol. &amp; De-orll)'!E47,'Incwm (Canol. &amp; De-orll)'!W47)</f>
        <v>28230.363617607571</v>
      </c>
      <c r="AE47" s="4">
        <f>IF('Rhaniad y Ddeiliadaeth (Cymru)'!$D$8="Amcangyfrifon LlC",'Incwm (Canol. &amp; De-orll)'!F47,'Incwm (Canol. &amp; De-orll)'!X47)</f>
        <v>29176.492256464393</v>
      </c>
      <c r="AF47" s="4">
        <f>IF('Rhaniad y Ddeiliadaeth (Cymru)'!$D$8="Amcangyfrifon LlC",'Incwm (Canol. &amp; De-orll)'!G47,'Incwm (Canol. &amp; De-orll)'!Y47)</f>
        <v>30279.273978468202</v>
      </c>
      <c r="AG47" s="4">
        <f>IF('Rhaniad y Ddeiliadaeth (Cymru)'!$D$8="Amcangyfrifon LlC",'Incwm (Canol. &amp; De-orll)'!H47,'Incwm (Canol. &amp; De-orll)'!Z47)</f>
        <v>31453.286497355322</v>
      </c>
    </row>
    <row r="48" spans="2:33" x14ac:dyDescent="0.25">
      <c r="B48" s="20">
        <v>54</v>
      </c>
      <c r="C48" s="56">
        <v>27186.5</v>
      </c>
      <c r="D48" s="57">
        <f>C48*(1+'Rhaniad y Ddeiliadaeth (C&amp;De-o)'!C$109)+(C$44*(-(50-$B48)*('Rhaniad y Ddeiliadaeth (C&amp;De-o)'!C$110/40)))</f>
        <v>28173.506669868573</v>
      </c>
      <c r="E48" s="57">
        <f>D48*(1+'Rhaniad y Ddeiliadaeth (C&amp;De-o)'!D$109)+(D$44*(-(50-$B48)*('Rhaniad y Ddeiliadaeth (C&amp;De-o)'!D$110/40)))</f>
        <v>28923.993396186448</v>
      </c>
      <c r="F48" s="57">
        <f>E48*(1+'Rhaniad y Ddeiliadaeth (C&amp;De-o)'!E$109)+(E$44*(-(50-$B48)*('Rhaniad y Ddeiliadaeth (C&amp;De-o)'!E$110/40)))</f>
        <v>29899.571079026282</v>
      </c>
      <c r="G48" s="57">
        <f>F48*(1+'Rhaniad y Ddeiliadaeth (C&amp;De-o)'!F$109)+(F$44*(-(50-$B48)*('Rhaniad y Ddeiliadaeth (C&amp;De-o)'!F$110/40)))</f>
        <v>31036.084339609046</v>
      </c>
      <c r="H48" s="58">
        <f>G48*(1+'Rhaniad y Ddeiliadaeth (C&amp;De-o)'!G$109)+(G$44*(-(50-$B48)*('Rhaniad y Ddeiliadaeth (C&amp;De-o)'!G$110/40)))</f>
        <v>32246.074756099661</v>
      </c>
      <c r="L48" s="62" t="str">
        <f t="shared" si="0"/>
        <v/>
      </c>
      <c r="M48" s="227"/>
      <c r="N48" s="14">
        <f t="shared" si="3"/>
        <v>1</v>
      </c>
      <c r="T48" s="1">
        <f t="shared" si="1"/>
        <v>54</v>
      </c>
      <c r="U48" s="4" t="str">
        <f t="shared" si="2"/>
        <v/>
      </c>
      <c r="V48" s="4" t="e">
        <f>IF($V$3=$M$3,M48,U48*(1+'Rhaniad y Ddeiliadaeth (C&amp;De-o)'!C$109)+(U$44*(-(50-$T48)*('Rhaniad y Ddeiliadaeth (C&amp;De-o)'!C$110/40))))</f>
        <v>#VALUE!</v>
      </c>
      <c r="W48" s="4" t="e">
        <f>V48*(1+'Rhaniad y Ddeiliadaeth (C&amp;De-o)'!D$109)+(V$44*(-(50-$T48)*('Rhaniad y Ddeiliadaeth (C&amp;De-o)'!D$110/40)))</f>
        <v>#VALUE!</v>
      </c>
      <c r="X48" s="4" t="e">
        <f>W48*(1+'Rhaniad y Ddeiliadaeth (C&amp;De-o)'!E$109)+(W$44*(-(50-$T48)*('Rhaniad y Ddeiliadaeth (C&amp;De-o)'!E$110/40)))</f>
        <v>#VALUE!</v>
      </c>
      <c r="Y48" s="4" t="e">
        <f>X48*(1+'Rhaniad y Ddeiliadaeth (C&amp;De-o)'!F$109)+(X$44*(-(50-$T48)*('Rhaniad y Ddeiliadaeth (C&amp;De-o)'!F$110/40)))</f>
        <v>#VALUE!</v>
      </c>
      <c r="Z48" s="4" t="e">
        <f>Y48*(1+'Rhaniad y Ddeiliadaeth (C&amp;De-o)'!G$109)+(Y$44*(-(50-$T48)*('Rhaniad y Ddeiliadaeth (C&amp;De-o)'!G$110/40)))</f>
        <v>#VALUE!</v>
      </c>
      <c r="AB48" s="1">
        <v>54</v>
      </c>
      <c r="AC48" s="4">
        <f>IF('Rhaniad y Ddeiliadaeth (Cymru)'!$D$8="Amcangyfrifon LlC",'Incwm (Canol. &amp; De-orll)'!D48,'Incwm (Canol. &amp; De-orll)'!V48)</f>
        <v>28173.506669868573</v>
      </c>
      <c r="AD48" s="4">
        <f>IF('Rhaniad y Ddeiliadaeth (Cymru)'!$D$8="Amcangyfrifon LlC",'Incwm (Canol. &amp; De-orll)'!E48,'Incwm (Canol. &amp; De-orll)'!W48)</f>
        <v>28923.993396186448</v>
      </c>
      <c r="AE48" s="4">
        <f>IF('Rhaniad y Ddeiliadaeth (Cymru)'!$D$8="Amcangyfrifon LlC",'Incwm (Canol. &amp; De-orll)'!F48,'Incwm (Canol. &amp; De-orll)'!X48)</f>
        <v>29899.571079026282</v>
      </c>
      <c r="AF48" s="4">
        <f>IF('Rhaniad y Ddeiliadaeth (Cymru)'!$D$8="Amcangyfrifon LlC",'Incwm (Canol. &amp; De-orll)'!G48,'Incwm (Canol. &amp; De-orll)'!Y48)</f>
        <v>31036.084339609046</v>
      </c>
      <c r="AG48" s="4">
        <f>IF('Rhaniad y Ddeiliadaeth (Cymru)'!$D$8="Amcangyfrifon LlC",'Incwm (Canol. &amp; De-orll)'!H48,'Incwm (Canol. &amp; De-orll)'!Z48)</f>
        <v>32246.074756099661</v>
      </c>
    </row>
    <row r="49" spans="2:33" x14ac:dyDescent="0.25">
      <c r="B49" s="20">
        <v>55</v>
      </c>
      <c r="C49" s="56">
        <v>27764.7</v>
      </c>
      <c r="D49" s="57">
        <f>C49*(1+'Rhaniad y Ddeiliadaeth (C&amp;De-o)'!C$109)+(C$44*(-(50-$B49)*('Rhaniad y Ddeiliadaeth (C&amp;De-o)'!C$110/40)))</f>
        <v>28778.466860956723</v>
      </c>
      <c r="E49" s="57">
        <f>D49*(1+'Rhaniad y Ddeiliadaeth (C&amp;De-o)'!D$109)+(D$44*(-(50-$B49)*('Rhaniad y Ddeiliadaeth (C&amp;De-o)'!D$110/40)))</f>
        <v>29551.035890673145</v>
      </c>
      <c r="F49" s="57">
        <f>E49*(1+'Rhaniad y Ddeiliadaeth (C&amp;De-o)'!E$109)+(E$44*(-(50-$B49)*('Rhaniad y Ddeiliadaeth (C&amp;De-o)'!E$110/40)))</f>
        <v>30553.878354046799</v>
      </c>
      <c r="G49" s="57">
        <f>F49*(1+'Rhaniad y Ddeiliadaeth (C&amp;De-o)'!F$109)+(F$44*(-(50-$B49)*('Rhaniad y Ddeiliadaeth (C&amp;De-o)'!F$110/40)))</f>
        <v>31721.572701735986</v>
      </c>
      <c r="H49" s="58">
        <f>G49*(1+'Rhaniad y Ddeiliadaeth (C&amp;De-o)'!G$109)+(G$44*(-(50-$B49)*('Rhaniad y Ddeiliadaeth (C&amp;De-o)'!G$110/40)))</f>
        <v>32964.82634199415</v>
      </c>
      <c r="L49" s="62" t="str">
        <f t="shared" si="0"/>
        <v/>
      </c>
      <c r="M49" s="227"/>
      <c r="N49" s="14">
        <f t="shared" si="3"/>
        <v>1</v>
      </c>
      <c r="T49" s="1">
        <f t="shared" si="1"/>
        <v>55</v>
      </c>
      <c r="U49" s="4" t="str">
        <f t="shared" si="2"/>
        <v/>
      </c>
      <c r="V49" s="4" t="e">
        <f>IF($V$3=$M$3,M49,U49*(1+'Rhaniad y Ddeiliadaeth (C&amp;De-o)'!C$109)+(U$44*(-(50-$T49)*('Rhaniad y Ddeiliadaeth (C&amp;De-o)'!C$110/40))))</f>
        <v>#VALUE!</v>
      </c>
      <c r="W49" s="4" t="e">
        <f>V49*(1+'Rhaniad y Ddeiliadaeth (C&amp;De-o)'!D$109)+(V$44*(-(50-$T49)*('Rhaniad y Ddeiliadaeth (C&amp;De-o)'!D$110/40)))</f>
        <v>#VALUE!</v>
      </c>
      <c r="X49" s="4" t="e">
        <f>W49*(1+'Rhaniad y Ddeiliadaeth (C&amp;De-o)'!E$109)+(W$44*(-(50-$T49)*('Rhaniad y Ddeiliadaeth (C&amp;De-o)'!E$110/40)))</f>
        <v>#VALUE!</v>
      </c>
      <c r="Y49" s="4" t="e">
        <f>X49*(1+'Rhaniad y Ddeiliadaeth (C&amp;De-o)'!F$109)+(X$44*(-(50-$T49)*('Rhaniad y Ddeiliadaeth (C&amp;De-o)'!F$110/40)))</f>
        <v>#VALUE!</v>
      </c>
      <c r="Z49" s="4" t="e">
        <f>Y49*(1+'Rhaniad y Ddeiliadaeth (C&amp;De-o)'!G$109)+(Y$44*(-(50-$T49)*('Rhaniad y Ddeiliadaeth (C&amp;De-o)'!G$110/40)))</f>
        <v>#VALUE!</v>
      </c>
      <c r="AB49" s="1">
        <v>55</v>
      </c>
      <c r="AC49" s="4">
        <f>IF('Rhaniad y Ddeiliadaeth (Cymru)'!$D$8="Amcangyfrifon LlC",'Incwm (Canol. &amp; De-orll)'!D49,'Incwm (Canol. &amp; De-orll)'!V49)</f>
        <v>28778.466860956723</v>
      </c>
      <c r="AD49" s="4">
        <f>IF('Rhaniad y Ddeiliadaeth (Cymru)'!$D$8="Amcangyfrifon LlC",'Incwm (Canol. &amp; De-orll)'!E49,'Incwm (Canol. &amp; De-orll)'!W49)</f>
        <v>29551.035890673145</v>
      </c>
      <c r="AE49" s="4">
        <f>IF('Rhaniad y Ddeiliadaeth (Cymru)'!$D$8="Amcangyfrifon LlC",'Incwm (Canol. &amp; De-orll)'!F49,'Incwm (Canol. &amp; De-orll)'!X49)</f>
        <v>30553.878354046799</v>
      </c>
      <c r="AF49" s="4">
        <f>IF('Rhaniad y Ddeiliadaeth (Cymru)'!$D$8="Amcangyfrifon LlC",'Incwm (Canol. &amp; De-orll)'!G49,'Incwm (Canol. &amp; De-orll)'!Y49)</f>
        <v>31721.572701735986</v>
      </c>
      <c r="AG49" s="4">
        <f>IF('Rhaniad y Ddeiliadaeth (Cymru)'!$D$8="Amcangyfrifon LlC",'Incwm (Canol. &amp; De-orll)'!H49,'Incwm (Canol. &amp; De-orll)'!Z49)</f>
        <v>32964.82634199415</v>
      </c>
    </row>
    <row r="50" spans="2:33" x14ac:dyDescent="0.25">
      <c r="B50" s="20">
        <v>56</v>
      </c>
      <c r="C50" s="56">
        <v>28070</v>
      </c>
      <c r="D50" s="57">
        <f>C50*(1+'Rhaniad y Ddeiliadaeth (C&amp;De-o)'!C$109)+(C$44*(-(50-$B50)*('Rhaniad y Ddeiliadaeth (C&amp;De-o)'!C$110/40)))</f>
        <v>29100.872569775838</v>
      </c>
      <c r="E50" s="57">
        <f>D50*(1+'Rhaniad y Ddeiliadaeth (C&amp;De-o)'!D$109)+(D$44*(-(50-$B50)*('Rhaniad y Ddeiliadaeth (C&amp;De-o)'!D$110/40)))</f>
        <v>29888.259089645398</v>
      </c>
      <c r="F50" s="57">
        <f>E50*(1+'Rhaniad y Ddeiliadaeth (C&amp;De-o)'!E$109)+(E$44*(-(50-$B50)*('Rhaniad y Ddeiliadaeth (C&amp;De-o)'!E$110/40)))</f>
        <v>30908.859387854554</v>
      </c>
      <c r="G50" s="57">
        <f>F50*(1+'Rhaniad y Ddeiliadaeth (C&amp;De-o)'!F$109)+(F$44*(-(50-$B50)*('Rhaniad y Ddeiliadaeth (C&amp;De-o)'!F$110/40)))</f>
        <v>32096.634053800833</v>
      </c>
      <c r="H50" s="58">
        <f>G50*(1+'Rhaniad y Ddeiliadaeth (C&amp;De-o)'!G$109)+(G$44*(-(50-$B50)*('Rhaniad y Ddeiliadaeth (C&amp;De-o)'!G$110/40)))</f>
        <v>33361.335375724026</v>
      </c>
      <c r="L50" s="62" t="str">
        <f t="shared" si="0"/>
        <v/>
      </c>
      <c r="M50" s="227"/>
      <c r="N50" s="14">
        <f t="shared" si="3"/>
        <v>1</v>
      </c>
      <c r="T50" s="1">
        <f t="shared" si="1"/>
        <v>56</v>
      </c>
      <c r="U50" s="4" t="str">
        <f t="shared" si="2"/>
        <v/>
      </c>
      <c r="V50" s="4" t="e">
        <f>IF($V$3=$M$3,M50,U50*(1+'Rhaniad y Ddeiliadaeth (C&amp;De-o)'!C$109)+(U$44*(-(50-$T50)*('Rhaniad y Ddeiliadaeth (C&amp;De-o)'!C$110/40))))</f>
        <v>#VALUE!</v>
      </c>
      <c r="W50" s="4" t="e">
        <f>V50*(1+'Rhaniad y Ddeiliadaeth (C&amp;De-o)'!D$109)+(V$44*(-(50-$T50)*('Rhaniad y Ddeiliadaeth (C&amp;De-o)'!D$110/40)))</f>
        <v>#VALUE!</v>
      </c>
      <c r="X50" s="4" t="e">
        <f>W50*(1+'Rhaniad y Ddeiliadaeth (C&amp;De-o)'!E$109)+(W$44*(-(50-$T50)*('Rhaniad y Ddeiliadaeth (C&amp;De-o)'!E$110/40)))</f>
        <v>#VALUE!</v>
      </c>
      <c r="Y50" s="4" t="e">
        <f>X50*(1+'Rhaniad y Ddeiliadaeth (C&amp;De-o)'!F$109)+(X$44*(-(50-$T50)*('Rhaniad y Ddeiliadaeth (C&amp;De-o)'!F$110/40)))</f>
        <v>#VALUE!</v>
      </c>
      <c r="Z50" s="4" t="e">
        <f>Y50*(1+'Rhaniad y Ddeiliadaeth (C&amp;De-o)'!G$109)+(Y$44*(-(50-$T50)*('Rhaniad y Ddeiliadaeth (C&amp;De-o)'!G$110/40)))</f>
        <v>#VALUE!</v>
      </c>
      <c r="AB50" s="1">
        <v>56</v>
      </c>
      <c r="AC50" s="4">
        <f>IF('Rhaniad y Ddeiliadaeth (Cymru)'!$D$8="Amcangyfrifon LlC",'Incwm (Canol. &amp; De-orll)'!D50,'Incwm (Canol. &amp; De-orll)'!V50)</f>
        <v>29100.872569775838</v>
      </c>
      <c r="AD50" s="4">
        <f>IF('Rhaniad y Ddeiliadaeth (Cymru)'!$D$8="Amcangyfrifon LlC",'Incwm (Canol. &amp; De-orll)'!E50,'Incwm (Canol. &amp; De-orll)'!W50)</f>
        <v>29888.259089645398</v>
      </c>
      <c r="AE50" s="4">
        <f>IF('Rhaniad y Ddeiliadaeth (Cymru)'!$D$8="Amcangyfrifon LlC",'Incwm (Canol. &amp; De-orll)'!F50,'Incwm (Canol. &amp; De-orll)'!X50)</f>
        <v>30908.859387854554</v>
      </c>
      <c r="AF50" s="4">
        <f>IF('Rhaniad y Ddeiliadaeth (Cymru)'!$D$8="Amcangyfrifon LlC",'Incwm (Canol. &amp; De-orll)'!G50,'Incwm (Canol. &amp; De-orll)'!Y50)</f>
        <v>32096.634053800833</v>
      </c>
      <c r="AG50" s="4">
        <f>IF('Rhaniad y Ddeiliadaeth (Cymru)'!$D$8="Amcangyfrifon LlC",'Incwm (Canol. &amp; De-orll)'!H50,'Incwm (Canol. &amp; De-orll)'!Z50)</f>
        <v>33361.335375724026</v>
      </c>
    </row>
    <row r="51" spans="2:33" x14ac:dyDescent="0.25">
      <c r="B51" s="20">
        <v>57</v>
      </c>
      <c r="C51" s="56">
        <v>28779.8</v>
      </c>
      <c r="D51" s="57">
        <f>C51*(1+'Rhaniad y Ddeiliadaeth (C&amp;De-o)'!C$109)+(C$44*(-(50-$B51)*('Rhaniad y Ddeiliadaeth (C&amp;De-o)'!C$110/40)))</f>
        <v>29842.08842178962</v>
      </c>
      <c r="E51" s="57">
        <f>D51*(1+'Rhaniad y Ddeiliadaeth (C&amp;De-o)'!D$109)+(D$44*(-(50-$B51)*('Rhaniad y Ddeiliadaeth (C&amp;De-o)'!D$110/40)))</f>
        <v>30655.060540855069</v>
      </c>
      <c r="F51" s="57">
        <f>E51*(1+'Rhaniad y Ddeiliadaeth (C&amp;De-o)'!E$109)+(E$44*(-(50-$B51)*('Rhaniad y Ddeiliadaeth (C&amp;De-o)'!E$110/40)))</f>
        <v>31707.510134269716</v>
      </c>
      <c r="G51" s="57">
        <f>F51*(1+'Rhaniad y Ddeiliadaeth (C&amp;De-o)'!F$109)+(F$44*(-(50-$B51)*('Rhaniad y Ddeiliadaeth (C&amp;De-o)'!F$110/40)))</f>
        <v>32931.818988020743</v>
      </c>
      <c r="H51" s="58">
        <f>G51*(1+'Rhaniad y Ddeiliadaeth (C&amp;De-o)'!G$109)+(G$44*(-(50-$B51)*('Rhaniad y Ddeiliadaeth (C&amp;De-o)'!G$110/40)))</f>
        <v>34235.481318030623</v>
      </c>
      <c r="L51" s="62" t="str">
        <f t="shared" si="0"/>
        <v/>
      </c>
      <c r="M51" s="227"/>
      <c r="N51" s="14">
        <f t="shared" si="3"/>
        <v>1</v>
      </c>
      <c r="T51" s="1">
        <f t="shared" si="1"/>
        <v>57</v>
      </c>
      <c r="U51" s="4" t="str">
        <f t="shared" si="2"/>
        <v/>
      </c>
      <c r="V51" s="4" t="e">
        <f>IF($V$3=$M$3,M51,U51*(1+'Rhaniad y Ddeiliadaeth (C&amp;De-o)'!C$109)+(U$44*(-(50-$T51)*('Rhaniad y Ddeiliadaeth (C&amp;De-o)'!C$110/40))))</f>
        <v>#VALUE!</v>
      </c>
      <c r="W51" s="4" t="e">
        <f>V51*(1+'Rhaniad y Ddeiliadaeth (C&amp;De-o)'!D$109)+(V$44*(-(50-$T51)*('Rhaniad y Ddeiliadaeth (C&amp;De-o)'!D$110/40)))</f>
        <v>#VALUE!</v>
      </c>
      <c r="X51" s="4" t="e">
        <f>W51*(1+'Rhaniad y Ddeiliadaeth (C&amp;De-o)'!E$109)+(W$44*(-(50-$T51)*('Rhaniad y Ddeiliadaeth (C&amp;De-o)'!E$110/40)))</f>
        <v>#VALUE!</v>
      </c>
      <c r="Y51" s="4" t="e">
        <f>X51*(1+'Rhaniad y Ddeiliadaeth (C&amp;De-o)'!F$109)+(X$44*(-(50-$T51)*('Rhaniad y Ddeiliadaeth (C&amp;De-o)'!F$110/40)))</f>
        <v>#VALUE!</v>
      </c>
      <c r="Z51" s="4" t="e">
        <f>Y51*(1+'Rhaniad y Ddeiliadaeth (C&amp;De-o)'!G$109)+(Y$44*(-(50-$T51)*('Rhaniad y Ddeiliadaeth (C&amp;De-o)'!G$110/40)))</f>
        <v>#VALUE!</v>
      </c>
      <c r="AB51" s="1">
        <v>57</v>
      </c>
      <c r="AC51" s="4">
        <f>IF('Rhaniad y Ddeiliadaeth (Cymru)'!$D$8="Amcangyfrifon LlC",'Incwm (Canol. &amp; De-orll)'!D51,'Incwm (Canol. &amp; De-orll)'!V51)</f>
        <v>29842.08842178962</v>
      </c>
      <c r="AD51" s="4">
        <f>IF('Rhaniad y Ddeiliadaeth (Cymru)'!$D$8="Amcangyfrifon LlC",'Incwm (Canol. &amp; De-orll)'!E51,'Incwm (Canol. &amp; De-orll)'!W51)</f>
        <v>30655.060540855069</v>
      </c>
      <c r="AE51" s="4">
        <f>IF('Rhaniad y Ddeiliadaeth (Cymru)'!$D$8="Amcangyfrifon LlC",'Incwm (Canol. &amp; De-orll)'!F51,'Incwm (Canol. &amp; De-orll)'!X51)</f>
        <v>31707.510134269716</v>
      </c>
      <c r="AF51" s="4">
        <f>IF('Rhaniad y Ddeiliadaeth (Cymru)'!$D$8="Amcangyfrifon LlC",'Incwm (Canol. &amp; De-orll)'!G51,'Incwm (Canol. &amp; De-orll)'!Y51)</f>
        <v>32931.818988020743</v>
      </c>
      <c r="AG51" s="4">
        <f>IF('Rhaniad y Ddeiliadaeth (Cymru)'!$D$8="Amcangyfrifon LlC",'Incwm (Canol. &amp; De-orll)'!H51,'Incwm (Canol. &amp; De-orll)'!Z51)</f>
        <v>34235.481318030623</v>
      </c>
    </row>
    <row r="52" spans="2:33" x14ac:dyDescent="0.25">
      <c r="B52" s="20">
        <v>58</v>
      </c>
      <c r="C52" s="56">
        <v>29397</v>
      </c>
      <c r="D52" s="57">
        <f>C52*(1+'Rhaniad y Ddeiliadaeth (C&amp;De-o)'!C$109)+(C$44*(-(50-$B52)*('Rhaniad y Ddeiliadaeth (C&amp;De-o)'!C$110/40)))</f>
        <v>30487.428330021383</v>
      </c>
      <c r="E52" s="57">
        <f>D52*(1+'Rhaniad y Ddeiliadaeth (C&amp;De-o)'!D$109)+(D$44*(-(50-$B52)*('Rhaniad y Ddeiliadaeth (C&amp;De-o)'!D$110/40)))</f>
        <v>31323.520963245988</v>
      </c>
      <c r="F52" s="57">
        <f>E52*(1+'Rhaniad y Ddeiliadaeth (C&amp;De-o)'!E$109)+(E$44*(-(50-$B52)*('Rhaniad y Ddeiliadaeth (C&amp;De-o)'!E$110/40)))</f>
        <v>32404.59396996189</v>
      </c>
      <c r="G52" s="57">
        <f>F52*(1+'Rhaniad y Ddeiliadaeth (C&amp;De-o)'!F$109)+(F$44*(-(50-$B52)*('Rhaniad y Ddeiliadaeth (C&amp;De-o)'!F$110/40)))</f>
        <v>33661.670316041491</v>
      </c>
      <c r="H52" s="58">
        <f>G52*(1+'Rhaniad y Ddeiliadaeth (C&amp;De-o)'!G$109)+(G$44*(-(50-$B52)*('Rhaniad y Ddeiliadaeth (C&amp;De-o)'!G$110/40)))</f>
        <v>35000.284422922618</v>
      </c>
      <c r="L52" s="62" t="str">
        <f t="shared" si="0"/>
        <v/>
      </c>
      <c r="M52" s="227"/>
      <c r="N52" s="14">
        <f t="shared" si="3"/>
        <v>1</v>
      </c>
      <c r="T52" s="1">
        <f t="shared" si="1"/>
        <v>58</v>
      </c>
      <c r="U52" s="4" t="str">
        <f t="shared" si="2"/>
        <v/>
      </c>
      <c r="V52" s="4" t="e">
        <f>IF($V$3=$M$3,M52,U52*(1+'Rhaniad y Ddeiliadaeth (C&amp;De-o)'!C$109)+(U$44*(-(50-$T52)*('Rhaniad y Ddeiliadaeth (C&amp;De-o)'!C$110/40))))</f>
        <v>#VALUE!</v>
      </c>
      <c r="W52" s="4" t="e">
        <f>V52*(1+'Rhaniad y Ddeiliadaeth (C&amp;De-o)'!D$109)+(V$44*(-(50-$T52)*('Rhaniad y Ddeiliadaeth (C&amp;De-o)'!D$110/40)))</f>
        <v>#VALUE!</v>
      </c>
      <c r="X52" s="4" t="e">
        <f>W52*(1+'Rhaniad y Ddeiliadaeth (C&amp;De-o)'!E$109)+(W$44*(-(50-$T52)*('Rhaniad y Ddeiliadaeth (C&amp;De-o)'!E$110/40)))</f>
        <v>#VALUE!</v>
      </c>
      <c r="Y52" s="4" t="e">
        <f>X52*(1+'Rhaniad y Ddeiliadaeth (C&amp;De-o)'!F$109)+(X$44*(-(50-$T52)*('Rhaniad y Ddeiliadaeth (C&amp;De-o)'!F$110/40)))</f>
        <v>#VALUE!</v>
      </c>
      <c r="Z52" s="4" t="e">
        <f>Y52*(1+'Rhaniad y Ddeiliadaeth (C&amp;De-o)'!G$109)+(Y$44*(-(50-$T52)*('Rhaniad y Ddeiliadaeth (C&amp;De-o)'!G$110/40)))</f>
        <v>#VALUE!</v>
      </c>
      <c r="AB52" s="1">
        <v>58</v>
      </c>
      <c r="AC52" s="4">
        <f>IF('Rhaniad y Ddeiliadaeth (Cymru)'!$D$8="Amcangyfrifon LlC",'Incwm (Canol. &amp; De-orll)'!D52,'Incwm (Canol. &amp; De-orll)'!V52)</f>
        <v>30487.428330021383</v>
      </c>
      <c r="AD52" s="4">
        <f>IF('Rhaniad y Ddeiliadaeth (Cymru)'!$D$8="Amcangyfrifon LlC",'Incwm (Canol. &amp; De-orll)'!E52,'Incwm (Canol. &amp; De-orll)'!W52)</f>
        <v>31323.520963245988</v>
      </c>
      <c r="AE52" s="4">
        <f>IF('Rhaniad y Ddeiliadaeth (Cymru)'!$D$8="Amcangyfrifon LlC",'Incwm (Canol. &amp; De-orll)'!F52,'Incwm (Canol. &amp; De-orll)'!X52)</f>
        <v>32404.59396996189</v>
      </c>
      <c r="AF52" s="4">
        <f>IF('Rhaniad y Ddeiliadaeth (Cymru)'!$D$8="Amcangyfrifon LlC",'Incwm (Canol. &amp; De-orll)'!G52,'Incwm (Canol. &amp; De-orll)'!Y52)</f>
        <v>33661.670316041491</v>
      </c>
      <c r="AG52" s="4">
        <f>IF('Rhaniad y Ddeiliadaeth (Cymru)'!$D$8="Amcangyfrifon LlC",'Incwm (Canol. &amp; De-orll)'!H52,'Incwm (Canol. &amp; De-orll)'!Z52)</f>
        <v>35000.284422922618</v>
      </c>
    </row>
    <row r="53" spans="2:33" x14ac:dyDescent="0.25">
      <c r="B53" s="20">
        <v>59</v>
      </c>
      <c r="C53" s="56">
        <v>29875</v>
      </c>
      <c r="D53" s="57">
        <f>C53*(1+'Rhaniad y Ddeiliadaeth (C&amp;De-o)'!C$109)+(C$44*(-(50-$B53)*('Rhaniad y Ddeiliadaeth (C&amp;De-o)'!C$110/40)))</f>
        <v>30988.643709371325</v>
      </c>
      <c r="E53" s="57">
        <f>D53*(1+'Rhaniad y Ddeiliadaeth (C&amp;De-o)'!D$109)+(D$44*(-(50-$B53)*('Rhaniad y Ddeiliadaeth (C&amp;De-o)'!D$110/40)))</f>
        <v>31844.151242963366</v>
      </c>
      <c r="F53" s="57">
        <f>E53*(1+'Rhaniad y Ddeiliadaeth (C&amp;De-o)'!E$109)+(E$44*(-(50-$B53)*('Rhaniad y Ddeiliadaeth (C&amp;De-o)'!E$110/40)))</f>
        <v>32948.998389102897</v>
      </c>
      <c r="G53" s="57">
        <f>F53*(1+'Rhaniad y Ddeiliadaeth (C&amp;De-o)'!F$109)+(F$44*(-(50-$B53)*('Rhaniad y Ddeiliadaeth (C&amp;De-o)'!F$110/40)))</f>
        <v>34233.17998117971</v>
      </c>
      <c r="H53" s="58">
        <f>G53*(1+'Rhaniad y Ddeiliadaeth (C&amp;De-o)'!G$109)+(G$44*(-(50-$B53)*('Rhaniad y Ddeiliadaeth (C&amp;De-o)'!G$110/40)))</f>
        <v>35600.719029238891</v>
      </c>
      <c r="L53" s="62" t="str">
        <f t="shared" si="0"/>
        <v/>
      </c>
      <c r="M53" s="227"/>
      <c r="N53" s="14">
        <f t="shared" si="3"/>
        <v>1</v>
      </c>
      <c r="T53" s="1">
        <f t="shared" si="1"/>
        <v>59</v>
      </c>
      <c r="U53" s="4" t="str">
        <f t="shared" si="2"/>
        <v/>
      </c>
      <c r="V53" s="4" t="e">
        <f>IF($V$3=$M$3,M53,U53*(1+'Rhaniad y Ddeiliadaeth (C&amp;De-o)'!C$109)+(U$44*(-(50-$T53)*('Rhaniad y Ddeiliadaeth (C&amp;De-o)'!C$110/40))))</f>
        <v>#VALUE!</v>
      </c>
      <c r="W53" s="4" t="e">
        <f>V53*(1+'Rhaniad y Ddeiliadaeth (C&amp;De-o)'!D$109)+(V$44*(-(50-$T53)*('Rhaniad y Ddeiliadaeth (C&amp;De-o)'!D$110/40)))</f>
        <v>#VALUE!</v>
      </c>
      <c r="X53" s="4" t="e">
        <f>W53*(1+'Rhaniad y Ddeiliadaeth (C&amp;De-o)'!E$109)+(W$44*(-(50-$T53)*('Rhaniad y Ddeiliadaeth (C&amp;De-o)'!E$110/40)))</f>
        <v>#VALUE!</v>
      </c>
      <c r="Y53" s="4" t="e">
        <f>X53*(1+'Rhaniad y Ddeiliadaeth (C&amp;De-o)'!F$109)+(X$44*(-(50-$T53)*('Rhaniad y Ddeiliadaeth (C&amp;De-o)'!F$110/40)))</f>
        <v>#VALUE!</v>
      </c>
      <c r="Z53" s="4" t="e">
        <f>Y53*(1+'Rhaniad y Ddeiliadaeth (C&amp;De-o)'!G$109)+(Y$44*(-(50-$T53)*('Rhaniad y Ddeiliadaeth (C&amp;De-o)'!G$110/40)))</f>
        <v>#VALUE!</v>
      </c>
      <c r="AB53" s="1">
        <v>59</v>
      </c>
      <c r="AC53" s="4">
        <f>IF('Rhaniad y Ddeiliadaeth (Cymru)'!$D$8="Amcangyfrifon LlC",'Incwm (Canol. &amp; De-orll)'!D53,'Incwm (Canol. &amp; De-orll)'!V53)</f>
        <v>30988.643709371325</v>
      </c>
      <c r="AD53" s="4">
        <f>IF('Rhaniad y Ddeiliadaeth (Cymru)'!$D$8="Amcangyfrifon LlC",'Incwm (Canol. &amp; De-orll)'!E53,'Incwm (Canol. &amp; De-orll)'!W53)</f>
        <v>31844.151242963366</v>
      </c>
      <c r="AE53" s="4">
        <f>IF('Rhaniad y Ddeiliadaeth (Cymru)'!$D$8="Amcangyfrifon LlC",'Incwm (Canol. &amp; De-orll)'!F53,'Incwm (Canol. &amp; De-orll)'!X53)</f>
        <v>32948.998389102897</v>
      </c>
      <c r="AF53" s="4">
        <f>IF('Rhaniad y Ddeiliadaeth (Cymru)'!$D$8="Amcangyfrifon LlC",'Incwm (Canol. &amp; De-orll)'!G53,'Incwm (Canol. &amp; De-orll)'!Y53)</f>
        <v>34233.17998117971</v>
      </c>
      <c r="AG53" s="4">
        <f>IF('Rhaniad y Ddeiliadaeth (Cymru)'!$D$8="Amcangyfrifon LlC",'Incwm (Canol. &amp; De-orll)'!H53,'Incwm (Canol. &amp; De-orll)'!Z53)</f>
        <v>35600.719029238891</v>
      </c>
    </row>
    <row r="54" spans="2:33" x14ac:dyDescent="0.25">
      <c r="B54" s="20">
        <v>60</v>
      </c>
      <c r="C54" s="56">
        <v>30386.5</v>
      </c>
      <c r="D54" s="57">
        <f>C54*(1+'Rhaniad y Ddeiliadaeth (C&amp;De-o)'!C$109)+(C$44*(-(50-$B54)*('Rhaniad y Ddeiliadaeth (C&amp;De-o)'!C$110/40)))</f>
        <v>31524.544230370269</v>
      </c>
      <c r="E54" s="57">
        <f>D54*(1+'Rhaniad y Ddeiliadaeth (C&amp;De-o)'!D$109)+(D$44*(-(50-$B54)*('Rhaniad y Ddeiliadaeth (C&amp;De-o)'!D$110/40)))</f>
        <v>32400.358460752323</v>
      </c>
      <c r="F54" s="57">
        <f>E54*(1+'Rhaniad y Ddeiliadaeth (C&amp;De-o)'!E$109)+(E$44*(-(50-$B54)*('Rhaniad y Ddeiliadaeth (C&amp;De-o)'!E$110/40)))</f>
        <v>33530.146777025977</v>
      </c>
      <c r="G54" s="57">
        <f>F54*(1+'Rhaniad y Ddeiliadaeth (C&amp;De-o)'!F$109)+(F$44*(-(50-$B54)*('Rhaniad y Ddeiliadaeth (C&amp;De-o)'!F$110/40)))</f>
        <v>34842.796296508772</v>
      </c>
      <c r="H54" s="58">
        <f>G54*(1+'Rhaniad y Ddeiliadaeth (C&amp;De-o)'!G$109)+(G$44*(-(50-$B54)*('Rhaniad y Ddeiliadaeth (C&amp;De-o)'!G$110/40)))</f>
        <v>36240.71070956585</v>
      </c>
      <c r="L54" s="62" t="str">
        <f t="shared" si="0"/>
        <v/>
      </c>
      <c r="M54" s="227"/>
      <c r="N54" s="14">
        <f t="shared" si="3"/>
        <v>1</v>
      </c>
      <c r="T54" s="1">
        <f t="shared" si="1"/>
        <v>60</v>
      </c>
      <c r="U54" s="4" t="str">
        <f t="shared" si="2"/>
        <v/>
      </c>
      <c r="V54" s="4" t="e">
        <f>IF($V$3=$M$3,M54,U54*(1+'Rhaniad y Ddeiliadaeth (C&amp;De-o)'!C$109)+(U$44*(-(50-$T54)*('Rhaniad y Ddeiliadaeth (C&amp;De-o)'!C$110/40))))</f>
        <v>#VALUE!</v>
      </c>
      <c r="W54" s="4" t="e">
        <f>V54*(1+'Rhaniad y Ddeiliadaeth (C&amp;De-o)'!D$109)+(V$44*(-(50-$T54)*('Rhaniad y Ddeiliadaeth (C&amp;De-o)'!D$110/40)))</f>
        <v>#VALUE!</v>
      </c>
      <c r="X54" s="4" t="e">
        <f>W54*(1+'Rhaniad y Ddeiliadaeth (C&amp;De-o)'!E$109)+(W$44*(-(50-$T54)*('Rhaniad y Ddeiliadaeth (C&amp;De-o)'!E$110/40)))</f>
        <v>#VALUE!</v>
      </c>
      <c r="Y54" s="4" t="e">
        <f>X54*(1+'Rhaniad y Ddeiliadaeth (C&amp;De-o)'!F$109)+(X$44*(-(50-$T54)*('Rhaniad y Ddeiliadaeth (C&amp;De-o)'!F$110/40)))</f>
        <v>#VALUE!</v>
      </c>
      <c r="Z54" s="4" t="e">
        <f>Y54*(1+'Rhaniad y Ddeiliadaeth (C&amp;De-o)'!G$109)+(Y$44*(-(50-$T54)*('Rhaniad y Ddeiliadaeth (C&amp;De-o)'!G$110/40)))</f>
        <v>#VALUE!</v>
      </c>
      <c r="AB54" s="1">
        <v>60</v>
      </c>
      <c r="AC54" s="4">
        <f>IF('Rhaniad y Ddeiliadaeth (Cymru)'!$D$8="Amcangyfrifon LlC",'Incwm (Canol. &amp; De-orll)'!D54,'Incwm (Canol. &amp; De-orll)'!V54)</f>
        <v>31524.544230370269</v>
      </c>
      <c r="AD54" s="4">
        <f>IF('Rhaniad y Ddeiliadaeth (Cymru)'!$D$8="Amcangyfrifon LlC",'Incwm (Canol. &amp; De-orll)'!E54,'Incwm (Canol. &amp; De-orll)'!W54)</f>
        <v>32400.358460752323</v>
      </c>
      <c r="AE54" s="4">
        <f>IF('Rhaniad y Ddeiliadaeth (Cymru)'!$D$8="Amcangyfrifon LlC",'Incwm (Canol. &amp; De-orll)'!F54,'Incwm (Canol. &amp; De-orll)'!X54)</f>
        <v>33530.146777025977</v>
      </c>
      <c r="AF54" s="4">
        <f>IF('Rhaniad y Ddeiliadaeth (Cymru)'!$D$8="Amcangyfrifon LlC",'Incwm (Canol. &amp; De-orll)'!G54,'Incwm (Canol. &amp; De-orll)'!Y54)</f>
        <v>34842.796296508772</v>
      </c>
      <c r="AG54" s="4">
        <f>IF('Rhaniad y Ddeiliadaeth (Cymru)'!$D$8="Amcangyfrifon LlC",'Incwm (Canol. &amp; De-orll)'!H54,'Incwm (Canol. &amp; De-orll)'!Z54)</f>
        <v>36240.71070956585</v>
      </c>
    </row>
    <row r="55" spans="2:33" x14ac:dyDescent="0.25">
      <c r="B55" s="20">
        <v>61</v>
      </c>
      <c r="C55" s="56">
        <v>30992</v>
      </c>
      <c r="D55" s="57">
        <f>C55*(1+'Rhaniad y Ddeiliadaeth (C&amp;De-o)'!C$109)+(C$44*(-(50-$B55)*('Rhaniad y Ddeiliadaeth (C&amp;De-o)'!C$110/40)))</f>
        <v>32157.770223458952</v>
      </c>
      <c r="E55" s="57">
        <f>D55*(1+'Rhaniad y Ddeiliadaeth (C&amp;De-o)'!D$109)+(D$44*(-(50-$B55)*('Rhaniad y Ddeiliadaeth (C&amp;De-o)'!D$110/40)))</f>
        <v>33056.393504771979</v>
      </c>
      <c r="F55" s="57">
        <f>E55*(1+'Rhaniad y Ddeiliadaeth (C&amp;De-o)'!E$109)+(E$44*(-(50-$B55)*('Rhaniad y Ddeiliadaeth (C&amp;De-o)'!E$110/40)))</f>
        <v>34214.397644516663</v>
      </c>
      <c r="G55" s="57">
        <f>F55*(1+'Rhaniad y Ddeiliadaeth (C&amp;De-o)'!F$109)+(F$44*(-(50-$B55)*('Rhaniad y Ddeiliadaeth (C&amp;De-o)'!F$110/40)))</f>
        <v>35559.33873476139</v>
      </c>
      <c r="H55" s="58">
        <f>G55*(1+'Rhaniad y Ddeiliadaeth (C&amp;De-o)'!G$109)+(G$44*(-(50-$B55)*('Rhaniad y Ddeiliadaeth (C&amp;De-o)'!G$110/40)))</f>
        <v>36991.698358758607</v>
      </c>
      <c r="L55" s="62" t="str">
        <f t="shared" si="0"/>
        <v/>
      </c>
      <c r="M55" s="227"/>
      <c r="N55" s="14">
        <f t="shared" si="3"/>
        <v>1</v>
      </c>
      <c r="T55" s="1">
        <f t="shared" si="1"/>
        <v>61</v>
      </c>
      <c r="U55" s="4" t="str">
        <f t="shared" si="2"/>
        <v/>
      </c>
      <c r="V55" s="4" t="e">
        <f>IF($V$3=$M$3,M55,U55*(1+'Rhaniad y Ddeiliadaeth (C&amp;De-o)'!C$109)+(U$44*(-(50-$T55)*('Rhaniad y Ddeiliadaeth (C&amp;De-o)'!C$110/40))))</f>
        <v>#VALUE!</v>
      </c>
      <c r="W55" s="4" t="e">
        <f>V55*(1+'Rhaniad y Ddeiliadaeth (C&amp;De-o)'!D$109)+(V$44*(-(50-$T55)*('Rhaniad y Ddeiliadaeth (C&amp;De-o)'!D$110/40)))</f>
        <v>#VALUE!</v>
      </c>
      <c r="X55" s="4" t="e">
        <f>W55*(1+'Rhaniad y Ddeiliadaeth (C&amp;De-o)'!E$109)+(W$44*(-(50-$T55)*('Rhaniad y Ddeiliadaeth (C&amp;De-o)'!E$110/40)))</f>
        <v>#VALUE!</v>
      </c>
      <c r="Y55" s="4" t="e">
        <f>X55*(1+'Rhaniad y Ddeiliadaeth (C&amp;De-o)'!F$109)+(X$44*(-(50-$T55)*('Rhaniad y Ddeiliadaeth (C&amp;De-o)'!F$110/40)))</f>
        <v>#VALUE!</v>
      </c>
      <c r="Z55" s="4" t="e">
        <f>Y55*(1+'Rhaniad y Ddeiliadaeth (C&amp;De-o)'!G$109)+(Y$44*(-(50-$T55)*('Rhaniad y Ddeiliadaeth (C&amp;De-o)'!G$110/40)))</f>
        <v>#VALUE!</v>
      </c>
      <c r="AB55" s="1">
        <v>61</v>
      </c>
      <c r="AC55" s="4">
        <f>IF('Rhaniad y Ddeiliadaeth (Cymru)'!$D$8="Amcangyfrifon LlC",'Incwm (Canol. &amp; De-orll)'!D55,'Incwm (Canol. &amp; De-orll)'!V55)</f>
        <v>32157.770223458952</v>
      </c>
      <c r="AD55" s="4">
        <f>IF('Rhaniad y Ddeiliadaeth (Cymru)'!$D$8="Amcangyfrifon LlC",'Incwm (Canol. &amp; De-orll)'!E55,'Incwm (Canol. &amp; De-orll)'!W55)</f>
        <v>33056.393504771979</v>
      </c>
      <c r="AE55" s="4">
        <f>IF('Rhaniad y Ddeiliadaeth (Cymru)'!$D$8="Amcangyfrifon LlC",'Incwm (Canol. &amp; De-orll)'!F55,'Incwm (Canol. &amp; De-orll)'!X55)</f>
        <v>34214.397644516663</v>
      </c>
      <c r="AF55" s="4">
        <f>IF('Rhaniad y Ddeiliadaeth (Cymru)'!$D$8="Amcangyfrifon LlC",'Incwm (Canol. &amp; De-orll)'!G55,'Incwm (Canol. &amp; De-orll)'!Y55)</f>
        <v>35559.33873476139</v>
      </c>
      <c r="AG55" s="4">
        <f>IF('Rhaniad y Ddeiliadaeth (Cymru)'!$D$8="Amcangyfrifon LlC",'Incwm (Canol. &amp; De-orll)'!H55,'Incwm (Canol. &amp; De-orll)'!Z55)</f>
        <v>36991.698358758607</v>
      </c>
    </row>
    <row r="56" spans="2:33" x14ac:dyDescent="0.25">
      <c r="B56" s="20">
        <v>62</v>
      </c>
      <c r="C56" s="56">
        <v>31623</v>
      </c>
      <c r="D56" s="57">
        <f>C56*(1+'Rhaniad y Ddeiliadaeth (C&amp;De-o)'!C$109)+(C$44*(-(50-$B56)*('Rhaniad y Ddeiliadaeth (C&amp;De-o)'!C$110/40)))</f>
        <v>32817.398339295381</v>
      </c>
      <c r="E56" s="57">
        <f>D56*(1+'Rhaniad y Ddeiliadaeth (C&amp;De-o)'!D$109)+(D$44*(-(50-$B56)*('Rhaniad y Ddeiliadaeth (C&amp;De-o)'!D$110/40)))</f>
        <v>33739.509501652094</v>
      </c>
      <c r="F56" s="57">
        <f>E56*(1+'Rhaniad y Ddeiliadaeth (C&amp;De-o)'!E$109)+(E$44*(-(50-$B56)*('Rhaniad y Ddeiliadaeth (C&amp;De-o)'!E$110/40)))</f>
        <v>34926.617801677283</v>
      </c>
      <c r="G56" s="57">
        <f>F56*(1+'Rhaniad y Ddeiliadaeth (C&amp;De-o)'!F$109)+(F$44*(-(50-$B56)*('Rhaniad y Ddeiliadaeth (C&amp;De-o)'!F$110/40)))</f>
        <v>36304.88772763688</v>
      </c>
      <c r="H56" s="58">
        <f>G56*(1+'Rhaniad y Ddeiliadaeth (C&amp;De-o)'!G$109)+(G$44*(-(50-$B56)*('Rhaniad y Ddeiliadaeth (C&amp;De-o)'!G$110/40)))</f>
        <v>37772.796616526655</v>
      </c>
      <c r="L56" s="62" t="str">
        <f t="shared" si="0"/>
        <v/>
      </c>
      <c r="M56" s="227"/>
      <c r="N56" s="14">
        <f t="shared" si="3"/>
        <v>1</v>
      </c>
      <c r="T56" s="1">
        <f t="shared" si="1"/>
        <v>62</v>
      </c>
      <c r="U56" s="4" t="str">
        <f t="shared" si="2"/>
        <v/>
      </c>
      <c r="V56" s="4" t="e">
        <f>IF($V$3=$M$3,M56,U56*(1+'Rhaniad y Ddeiliadaeth (C&amp;De-o)'!C$109)+(U$44*(-(50-$T56)*('Rhaniad y Ddeiliadaeth (C&amp;De-o)'!C$110/40))))</f>
        <v>#VALUE!</v>
      </c>
      <c r="W56" s="4" t="e">
        <f>V56*(1+'Rhaniad y Ddeiliadaeth (C&amp;De-o)'!D$109)+(V$44*(-(50-$T56)*('Rhaniad y Ddeiliadaeth (C&amp;De-o)'!D$110/40)))</f>
        <v>#VALUE!</v>
      </c>
      <c r="X56" s="4" t="e">
        <f>W56*(1+'Rhaniad y Ddeiliadaeth (C&amp;De-o)'!E$109)+(W$44*(-(50-$T56)*('Rhaniad y Ddeiliadaeth (C&amp;De-o)'!E$110/40)))</f>
        <v>#VALUE!</v>
      </c>
      <c r="Y56" s="4" t="e">
        <f>X56*(1+'Rhaniad y Ddeiliadaeth (C&amp;De-o)'!F$109)+(X$44*(-(50-$T56)*('Rhaniad y Ddeiliadaeth (C&amp;De-o)'!F$110/40)))</f>
        <v>#VALUE!</v>
      </c>
      <c r="Z56" s="4" t="e">
        <f>Y56*(1+'Rhaniad y Ddeiliadaeth (C&amp;De-o)'!G$109)+(Y$44*(-(50-$T56)*('Rhaniad y Ddeiliadaeth (C&amp;De-o)'!G$110/40)))</f>
        <v>#VALUE!</v>
      </c>
      <c r="AB56" s="1">
        <v>62</v>
      </c>
      <c r="AC56" s="4">
        <f>IF('Rhaniad y Ddeiliadaeth (Cymru)'!$D$8="Amcangyfrifon LlC",'Incwm (Canol. &amp; De-orll)'!D56,'Incwm (Canol. &amp; De-orll)'!V56)</f>
        <v>32817.398339295381</v>
      </c>
      <c r="AD56" s="4">
        <f>IF('Rhaniad y Ddeiliadaeth (Cymru)'!$D$8="Amcangyfrifon LlC",'Incwm (Canol. &amp; De-orll)'!E56,'Incwm (Canol. &amp; De-orll)'!W56)</f>
        <v>33739.509501652094</v>
      </c>
      <c r="AE56" s="4">
        <f>IF('Rhaniad y Ddeiliadaeth (Cymru)'!$D$8="Amcangyfrifon LlC",'Incwm (Canol. &amp; De-orll)'!F56,'Incwm (Canol. &amp; De-orll)'!X56)</f>
        <v>34926.617801677283</v>
      </c>
      <c r="AF56" s="4">
        <f>IF('Rhaniad y Ddeiliadaeth (Cymru)'!$D$8="Amcangyfrifon LlC",'Incwm (Canol. &amp; De-orll)'!G56,'Incwm (Canol. &amp; De-orll)'!Y56)</f>
        <v>36304.88772763688</v>
      </c>
      <c r="AG56" s="4">
        <f>IF('Rhaniad y Ddeiliadaeth (Cymru)'!$D$8="Amcangyfrifon LlC",'Incwm (Canol. &amp; De-orll)'!H56,'Incwm (Canol. &amp; De-orll)'!Z56)</f>
        <v>37772.796616526655</v>
      </c>
    </row>
    <row r="57" spans="2:33" x14ac:dyDescent="0.25">
      <c r="B57" s="20">
        <v>63</v>
      </c>
      <c r="C57" s="56">
        <v>32052.5</v>
      </c>
      <c r="D57" s="57">
        <f>C57*(1+'Rhaniad y Ddeiliadaeth (C&amp;De-o)'!C$109)+(C$44*(-(50-$B57)*('Rhaniad y Ddeiliadaeth (C&amp;De-o)'!C$110/40)))</f>
        <v>33268.397916556467</v>
      </c>
      <c r="E57" s="57">
        <f>D57*(1+'Rhaniad y Ddeiliadaeth (C&amp;De-o)'!D$109)+(D$44*(-(50-$B57)*('Rhaniad y Ddeiliadaeth (C&amp;De-o)'!D$110/40)))</f>
        <v>34208.632871027032</v>
      </c>
      <c r="F57" s="57">
        <f>E57*(1+'Rhaniad y Ddeiliadaeth (C&amp;De-o)'!E$109)+(E$44*(-(50-$B57)*('Rhaniad y Ddeiliadaeth (C&amp;De-o)'!E$110/40)))</f>
        <v>35417.825728700947</v>
      </c>
      <c r="G57" s="57">
        <f>F57*(1+'Rhaniad y Ddeiliadaeth (C&amp;De-o)'!F$109)+(F$44*(-(50-$B57)*('Rhaniad y Ddeiliadaeth (C&amp;De-o)'!F$110/40)))</f>
        <v>36821.228063394316</v>
      </c>
      <c r="H57" s="58">
        <f>G57*(1+'Rhaniad y Ddeiliadaeth (C&amp;De-o)'!G$109)+(G$44*(-(50-$B57)*('Rhaniad y Ddeiliadaeth (C&amp;De-o)'!G$110/40)))</f>
        <v>38315.962026140885</v>
      </c>
      <c r="L57" s="62" t="str">
        <f t="shared" si="0"/>
        <v/>
      </c>
      <c r="M57" s="227"/>
      <c r="N57" s="14">
        <f t="shared" si="3"/>
        <v>1</v>
      </c>
      <c r="T57" s="1">
        <f t="shared" si="1"/>
        <v>63</v>
      </c>
      <c r="U57" s="4" t="str">
        <f t="shared" si="2"/>
        <v/>
      </c>
      <c r="V57" s="4" t="e">
        <f>IF($V$3=$M$3,M57,U57*(1+'Rhaniad y Ddeiliadaeth (C&amp;De-o)'!C$109)+(U$44*(-(50-$T57)*('Rhaniad y Ddeiliadaeth (C&amp;De-o)'!C$110/40))))</f>
        <v>#VALUE!</v>
      </c>
      <c r="W57" s="4" t="e">
        <f>V57*(1+'Rhaniad y Ddeiliadaeth (C&amp;De-o)'!D$109)+(V$44*(-(50-$T57)*('Rhaniad y Ddeiliadaeth (C&amp;De-o)'!D$110/40)))</f>
        <v>#VALUE!</v>
      </c>
      <c r="X57" s="4" t="e">
        <f>W57*(1+'Rhaniad y Ddeiliadaeth (C&amp;De-o)'!E$109)+(W$44*(-(50-$T57)*('Rhaniad y Ddeiliadaeth (C&amp;De-o)'!E$110/40)))</f>
        <v>#VALUE!</v>
      </c>
      <c r="Y57" s="4" t="e">
        <f>X57*(1+'Rhaniad y Ddeiliadaeth (C&amp;De-o)'!F$109)+(X$44*(-(50-$T57)*('Rhaniad y Ddeiliadaeth (C&amp;De-o)'!F$110/40)))</f>
        <v>#VALUE!</v>
      </c>
      <c r="Z57" s="4" t="e">
        <f>Y57*(1+'Rhaniad y Ddeiliadaeth (C&amp;De-o)'!G$109)+(Y$44*(-(50-$T57)*('Rhaniad y Ddeiliadaeth (C&amp;De-o)'!G$110/40)))</f>
        <v>#VALUE!</v>
      </c>
      <c r="AB57" s="1">
        <v>63</v>
      </c>
      <c r="AC57" s="4">
        <f>IF('Rhaniad y Ddeiliadaeth (Cymru)'!$D$8="Amcangyfrifon LlC",'Incwm (Canol. &amp; De-orll)'!D57,'Incwm (Canol. &amp; De-orll)'!V57)</f>
        <v>33268.397916556467</v>
      </c>
      <c r="AD57" s="4">
        <f>IF('Rhaniad y Ddeiliadaeth (Cymru)'!$D$8="Amcangyfrifon LlC",'Incwm (Canol. &amp; De-orll)'!E57,'Incwm (Canol. &amp; De-orll)'!W57)</f>
        <v>34208.632871027032</v>
      </c>
      <c r="AE57" s="4">
        <f>IF('Rhaniad y Ddeiliadaeth (Cymru)'!$D$8="Amcangyfrifon LlC",'Incwm (Canol. &amp; De-orll)'!F57,'Incwm (Canol. &amp; De-orll)'!X57)</f>
        <v>35417.825728700947</v>
      </c>
      <c r="AF57" s="4">
        <f>IF('Rhaniad y Ddeiliadaeth (Cymru)'!$D$8="Amcangyfrifon LlC",'Incwm (Canol. &amp; De-orll)'!G57,'Incwm (Canol. &amp; De-orll)'!Y57)</f>
        <v>36821.228063394316</v>
      </c>
      <c r="AG57" s="4">
        <f>IF('Rhaniad y Ddeiliadaeth (Cymru)'!$D$8="Amcangyfrifon LlC",'Incwm (Canol. &amp; De-orll)'!H57,'Incwm (Canol. &amp; De-orll)'!Z57)</f>
        <v>38315.962026140885</v>
      </c>
    </row>
    <row r="58" spans="2:33" x14ac:dyDescent="0.25">
      <c r="B58" s="20">
        <v>64</v>
      </c>
      <c r="C58" s="56">
        <v>32716.15</v>
      </c>
      <c r="D58" s="57">
        <f>C58*(1+'Rhaniad y Ddeiliadaeth (C&amp;De-o)'!C$109)+(C$44*(-(50-$B58)*('Rhaniad y Ddeiliadaeth (C&amp;De-o)'!C$110/40)))</f>
        <v>33961.831103283635</v>
      </c>
      <c r="E58" s="57">
        <f>D58*(1+'Rhaniad y Ddeiliadaeth (C&amp;De-o)'!D$109)+(D$44*(-(50-$B58)*('Rhaniad y Ddeiliadaeth (C&amp;De-o)'!D$110/40)))</f>
        <v>34926.423107550028</v>
      </c>
      <c r="F58" s="57">
        <f>E58*(1+'Rhaniad y Ddeiliadaeth (C&amp;De-o)'!E$109)+(E$44*(-(50-$B58)*('Rhaniad y Ddeiliadaeth (C&amp;De-o)'!E$110/40)))</f>
        <v>36165.857544987972</v>
      </c>
      <c r="G58" s="57">
        <f>F58*(1+'Rhaniad y Ddeiliadaeth (C&amp;De-o)'!F$109)+(F$44*(-(50-$B58)*('Rhaniad y Ddeiliadaeth (C&amp;De-o)'!F$110/40)))</f>
        <v>37603.91682130655</v>
      </c>
      <c r="H58" s="58">
        <f>G58*(1+'Rhaniad y Ddeiliadaeth (C&amp;De-o)'!G$109)+(G$44*(-(50-$B58)*('Rhaniad y Ddeiliadaeth (C&amp;De-o)'!G$110/40)))</f>
        <v>39135.613670967105</v>
      </c>
      <c r="L58" s="62" t="str">
        <f t="shared" si="0"/>
        <v/>
      </c>
      <c r="M58" s="227"/>
      <c r="N58" s="14">
        <f t="shared" si="3"/>
        <v>1</v>
      </c>
      <c r="T58" s="1">
        <f t="shared" si="1"/>
        <v>64</v>
      </c>
      <c r="U58" s="4" t="str">
        <f t="shared" si="2"/>
        <v/>
      </c>
      <c r="V58" s="4" t="e">
        <f>IF($V$3=$M$3,M58,U58*(1+'Rhaniad y Ddeiliadaeth (C&amp;De-o)'!C$109)+(U$44*(-(50-$T58)*('Rhaniad y Ddeiliadaeth (C&amp;De-o)'!C$110/40))))</f>
        <v>#VALUE!</v>
      </c>
      <c r="W58" s="4" t="e">
        <f>V58*(1+'Rhaniad y Ddeiliadaeth (C&amp;De-o)'!D$109)+(V$44*(-(50-$T58)*('Rhaniad y Ddeiliadaeth (C&amp;De-o)'!D$110/40)))</f>
        <v>#VALUE!</v>
      </c>
      <c r="X58" s="4" t="e">
        <f>W58*(1+'Rhaniad y Ddeiliadaeth (C&amp;De-o)'!E$109)+(W$44*(-(50-$T58)*('Rhaniad y Ddeiliadaeth (C&amp;De-o)'!E$110/40)))</f>
        <v>#VALUE!</v>
      </c>
      <c r="Y58" s="4" t="e">
        <f>X58*(1+'Rhaniad y Ddeiliadaeth (C&amp;De-o)'!F$109)+(X$44*(-(50-$T58)*('Rhaniad y Ddeiliadaeth (C&amp;De-o)'!F$110/40)))</f>
        <v>#VALUE!</v>
      </c>
      <c r="Z58" s="4" t="e">
        <f>Y58*(1+'Rhaniad y Ddeiliadaeth (C&amp;De-o)'!G$109)+(Y$44*(-(50-$T58)*('Rhaniad y Ddeiliadaeth (C&amp;De-o)'!G$110/40)))</f>
        <v>#VALUE!</v>
      </c>
      <c r="AB58" s="1">
        <v>64</v>
      </c>
      <c r="AC58" s="4">
        <f>IF('Rhaniad y Ddeiliadaeth (Cymru)'!$D$8="Amcangyfrifon LlC",'Incwm (Canol. &amp; De-orll)'!D58,'Incwm (Canol. &amp; De-orll)'!V58)</f>
        <v>33961.831103283635</v>
      </c>
      <c r="AD58" s="4">
        <f>IF('Rhaniad y Ddeiliadaeth (Cymru)'!$D$8="Amcangyfrifon LlC",'Incwm (Canol. &amp; De-orll)'!E58,'Incwm (Canol. &amp; De-orll)'!W58)</f>
        <v>34926.423107550028</v>
      </c>
      <c r="AE58" s="4">
        <f>IF('Rhaniad y Ddeiliadaeth (Cymru)'!$D$8="Amcangyfrifon LlC",'Incwm (Canol. &amp; De-orll)'!F58,'Incwm (Canol. &amp; De-orll)'!X58)</f>
        <v>36165.857544987972</v>
      </c>
      <c r="AF58" s="4">
        <f>IF('Rhaniad y Ddeiliadaeth (Cymru)'!$D$8="Amcangyfrifon LlC",'Incwm (Canol. &amp; De-orll)'!G58,'Incwm (Canol. &amp; De-orll)'!Y58)</f>
        <v>37603.91682130655</v>
      </c>
      <c r="AG58" s="4">
        <f>IF('Rhaniad y Ddeiliadaeth (Cymru)'!$D$8="Amcangyfrifon LlC",'Incwm (Canol. &amp; De-orll)'!H58,'Incwm (Canol. &amp; De-orll)'!Z58)</f>
        <v>39135.613670967105</v>
      </c>
    </row>
    <row r="59" spans="2:33" x14ac:dyDescent="0.25">
      <c r="B59" s="20">
        <v>65</v>
      </c>
      <c r="C59" s="56">
        <v>33315</v>
      </c>
      <c r="D59" s="57">
        <f>C59*(1+'Rhaniad y Ddeiliadaeth (C&amp;De-o)'!C$109)+(C$44*(-(50-$B59)*('Rhaniad y Ddeiliadaeth (C&amp;De-o)'!C$110/40)))</f>
        <v>34588.171836910653</v>
      </c>
      <c r="E59" s="57">
        <f>D59*(1+'Rhaniad y Ddeiliadaeth (C&amp;De-o)'!D$109)+(D$44*(-(50-$B59)*('Rhaniad y Ddeiliadaeth (C&amp;De-o)'!D$110/40)))</f>
        <v>35575.395863862948</v>
      </c>
      <c r="F59" s="57">
        <f>E59*(1+'Rhaniad y Ddeiliadaeth (C&amp;De-o)'!E$109)+(E$44*(-(50-$B59)*('Rhaniad y Ddeiliadaeth (C&amp;De-o)'!E$110/40)))</f>
        <v>36842.814460466703</v>
      </c>
      <c r="G59" s="57">
        <f>F59*(1+'Rhaniad y Ddeiliadaeth (C&amp;De-o)'!F$109)+(F$44*(-(50-$B59)*('Rhaniad y Ddeiliadaeth (C&amp;De-o)'!F$110/40)))</f>
        <v>38312.894805118303</v>
      </c>
      <c r="H59" s="58">
        <f>G59*(1+'Rhaniad y Ddeiliadaeth (C&amp;De-o)'!G$109)+(G$44*(-(50-$B59)*('Rhaniad y Ddeiliadaeth (C&amp;De-o)'!G$110/40)))</f>
        <v>39878.748945766696</v>
      </c>
      <c r="L59" s="62" t="str">
        <f t="shared" si="0"/>
        <v/>
      </c>
      <c r="M59" s="227"/>
      <c r="N59" s="14">
        <f t="shared" si="3"/>
        <v>1</v>
      </c>
      <c r="T59" s="1">
        <f t="shared" si="1"/>
        <v>65</v>
      </c>
      <c r="U59" s="4" t="str">
        <f t="shared" si="2"/>
        <v/>
      </c>
      <c r="V59" s="4" t="e">
        <f>IF($V$3=$M$3,M59,U59*(1+'Rhaniad y Ddeiliadaeth (C&amp;De-o)'!C$109)+(U$44*(-(50-$T59)*('Rhaniad y Ddeiliadaeth (C&amp;De-o)'!C$110/40))))</f>
        <v>#VALUE!</v>
      </c>
      <c r="W59" s="4" t="e">
        <f>V59*(1+'Rhaniad y Ddeiliadaeth (C&amp;De-o)'!D$109)+(V$44*(-(50-$T59)*('Rhaniad y Ddeiliadaeth (C&amp;De-o)'!D$110/40)))</f>
        <v>#VALUE!</v>
      </c>
      <c r="X59" s="4" t="e">
        <f>W59*(1+'Rhaniad y Ddeiliadaeth (C&amp;De-o)'!E$109)+(W$44*(-(50-$T59)*('Rhaniad y Ddeiliadaeth (C&amp;De-o)'!E$110/40)))</f>
        <v>#VALUE!</v>
      </c>
      <c r="Y59" s="4" t="e">
        <f>X59*(1+'Rhaniad y Ddeiliadaeth (C&amp;De-o)'!F$109)+(X$44*(-(50-$T59)*('Rhaniad y Ddeiliadaeth (C&amp;De-o)'!F$110/40)))</f>
        <v>#VALUE!</v>
      </c>
      <c r="Z59" s="4" t="e">
        <f>Y59*(1+'Rhaniad y Ddeiliadaeth (C&amp;De-o)'!G$109)+(Y$44*(-(50-$T59)*('Rhaniad y Ddeiliadaeth (C&amp;De-o)'!G$110/40)))</f>
        <v>#VALUE!</v>
      </c>
      <c r="AB59" s="1">
        <v>65</v>
      </c>
      <c r="AC59" s="4">
        <f>IF('Rhaniad y Ddeiliadaeth (Cymru)'!$D$8="Amcangyfrifon LlC",'Incwm (Canol. &amp; De-orll)'!D59,'Incwm (Canol. &amp; De-orll)'!V59)</f>
        <v>34588.171836910653</v>
      </c>
      <c r="AD59" s="4">
        <f>IF('Rhaniad y Ddeiliadaeth (Cymru)'!$D$8="Amcangyfrifon LlC",'Incwm (Canol. &amp; De-orll)'!E59,'Incwm (Canol. &amp; De-orll)'!W59)</f>
        <v>35575.395863862948</v>
      </c>
      <c r="AE59" s="4">
        <f>IF('Rhaniad y Ddeiliadaeth (Cymru)'!$D$8="Amcangyfrifon LlC",'Incwm (Canol. &amp; De-orll)'!F59,'Incwm (Canol. &amp; De-orll)'!X59)</f>
        <v>36842.814460466703</v>
      </c>
      <c r="AF59" s="4">
        <f>IF('Rhaniad y Ddeiliadaeth (Cymru)'!$D$8="Amcangyfrifon LlC",'Incwm (Canol. &amp; De-orll)'!G59,'Incwm (Canol. &amp; De-orll)'!Y59)</f>
        <v>38312.894805118303</v>
      </c>
      <c r="AG59" s="4">
        <f>IF('Rhaniad y Ddeiliadaeth (Cymru)'!$D$8="Amcangyfrifon LlC",'Incwm (Canol. &amp; De-orll)'!H59,'Incwm (Canol. &amp; De-orll)'!Z59)</f>
        <v>39878.748945766696</v>
      </c>
    </row>
    <row r="60" spans="2:33" x14ac:dyDescent="0.25">
      <c r="B60" s="20">
        <v>66</v>
      </c>
      <c r="C60" s="56">
        <v>34002.5</v>
      </c>
      <c r="D60" s="57">
        <f>C60*(1+'Rhaniad y Ddeiliadaeth (C&amp;De-o)'!C$109)+(C$44*(-(50-$B60)*('Rhaniad y Ddeiliadaeth (C&amp;De-o)'!C$110/40)))</f>
        <v>35306.298773737188</v>
      </c>
      <c r="E60" s="57">
        <f>D60*(1+'Rhaniad y Ddeiliadaeth (C&amp;De-o)'!D$109)+(D$44*(-(50-$B60)*('Rhaniad y Ddeiliadaeth (C&amp;De-o)'!D$110/40)))</f>
        <v>36318.514756296609</v>
      </c>
      <c r="F60" s="57">
        <f>E60*(1+'Rhaniad y Ddeiliadaeth (C&amp;De-o)'!E$109)+(E$44*(-(50-$B60)*('Rhaniad y Ddeiliadaeth (C&amp;De-o)'!E$110/40)))</f>
        <v>37617.005788856775</v>
      </c>
      <c r="G60" s="57">
        <f>F60*(1+'Rhaniad y Ddeiliadaeth (C&amp;De-o)'!F$109)+(F$44*(-(50-$B60)*('Rhaniad y Ddeiliadaeth (C&amp;De-o)'!F$110/40)))</f>
        <v>39122.713222942511</v>
      </c>
      <c r="H60" s="58">
        <f>G60*(1+'Rhaniad y Ddeiliadaeth (C&amp;De-o)'!G$109)+(G$44*(-(50-$B60)*('Rhaniad y Ddeiliadaeth (C&amp;De-o)'!G$110/40)))</f>
        <v>40726.562865672146</v>
      </c>
      <c r="L60" s="62" t="str">
        <f t="shared" si="0"/>
        <v/>
      </c>
      <c r="M60" s="227"/>
      <c r="N60" s="14">
        <f t="shared" si="3"/>
        <v>1</v>
      </c>
      <c r="T60" s="1">
        <f t="shared" si="1"/>
        <v>66</v>
      </c>
      <c r="U60" s="4" t="str">
        <f t="shared" si="2"/>
        <v/>
      </c>
      <c r="V60" s="4" t="e">
        <f>IF($V$3=$M$3,M60,U60*(1+'Rhaniad y Ddeiliadaeth (C&amp;De-o)'!C$109)+(U$44*(-(50-$T60)*('Rhaniad y Ddeiliadaeth (C&amp;De-o)'!C$110/40))))</f>
        <v>#VALUE!</v>
      </c>
      <c r="W60" s="4" t="e">
        <f>V60*(1+'Rhaniad y Ddeiliadaeth (C&amp;De-o)'!D$109)+(V$44*(-(50-$T60)*('Rhaniad y Ddeiliadaeth (C&amp;De-o)'!D$110/40)))</f>
        <v>#VALUE!</v>
      </c>
      <c r="X60" s="4" t="e">
        <f>W60*(1+'Rhaniad y Ddeiliadaeth (C&amp;De-o)'!E$109)+(W$44*(-(50-$T60)*('Rhaniad y Ddeiliadaeth (C&amp;De-o)'!E$110/40)))</f>
        <v>#VALUE!</v>
      </c>
      <c r="Y60" s="4" t="e">
        <f>X60*(1+'Rhaniad y Ddeiliadaeth (C&amp;De-o)'!F$109)+(X$44*(-(50-$T60)*('Rhaniad y Ddeiliadaeth (C&amp;De-o)'!F$110/40)))</f>
        <v>#VALUE!</v>
      </c>
      <c r="Z60" s="4" t="e">
        <f>Y60*(1+'Rhaniad y Ddeiliadaeth (C&amp;De-o)'!G$109)+(Y$44*(-(50-$T60)*('Rhaniad y Ddeiliadaeth (C&amp;De-o)'!G$110/40)))</f>
        <v>#VALUE!</v>
      </c>
      <c r="AB60" s="1">
        <v>66</v>
      </c>
      <c r="AC60" s="4">
        <f>IF('Rhaniad y Ddeiliadaeth (Cymru)'!$D$8="Amcangyfrifon LlC",'Incwm (Canol. &amp; De-orll)'!D60,'Incwm (Canol. &amp; De-orll)'!V60)</f>
        <v>35306.298773737188</v>
      </c>
      <c r="AD60" s="4">
        <f>IF('Rhaniad y Ddeiliadaeth (Cymru)'!$D$8="Amcangyfrifon LlC",'Incwm (Canol. &amp; De-orll)'!E60,'Incwm (Canol. &amp; De-orll)'!W60)</f>
        <v>36318.514756296609</v>
      </c>
      <c r="AE60" s="4">
        <f>IF('Rhaniad y Ddeiliadaeth (Cymru)'!$D$8="Amcangyfrifon LlC",'Incwm (Canol. &amp; De-orll)'!F60,'Incwm (Canol. &amp; De-orll)'!X60)</f>
        <v>37617.005788856775</v>
      </c>
      <c r="AF60" s="4">
        <f>IF('Rhaniad y Ddeiliadaeth (Cymru)'!$D$8="Amcangyfrifon LlC",'Incwm (Canol. &amp; De-orll)'!G60,'Incwm (Canol. &amp; De-orll)'!Y60)</f>
        <v>39122.713222942511</v>
      </c>
      <c r="AG60" s="4">
        <f>IF('Rhaniad y Ddeiliadaeth (Cymru)'!$D$8="Amcangyfrifon LlC",'Incwm (Canol. &amp; De-orll)'!H60,'Incwm (Canol. &amp; De-orll)'!Z60)</f>
        <v>40726.562865672146</v>
      </c>
    </row>
    <row r="61" spans="2:33" x14ac:dyDescent="0.25">
      <c r="B61" s="20">
        <v>67</v>
      </c>
      <c r="C61" s="56">
        <v>34724</v>
      </c>
      <c r="D61" s="57">
        <f>C61*(1+'Rhaniad y Ddeiliadaeth (C&amp;De-o)'!C$109)+(C$44*(-(50-$B61)*('Rhaniad y Ddeiliadaeth (C&amp;De-o)'!C$110/40)))</f>
        <v>36059.628540894053</v>
      </c>
      <c r="E61" s="57">
        <f>D61*(1+'Rhaniad y Ddeiliadaeth (C&amp;De-o)'!D$109)+(D$44*(-(50-$B61)*('Rhaniad y Ddeiliadaeth (C&amp;De-o)'!D$110/40)))</f>
        <v>37097.741585877557</v>
      </c>
      <c r="F61" s="57">
        <f>E61*(1+'Rhaniad y Ddeiliadaeth (C&amp;De-o)'!E$109)+(E$44*(-(50-$B61)*('Rhaniad y Ddeiliadaeth (C&amp;De-o)'!E$110/40)))</f>
        <v>38428.489503473444</v>
      </c>
      <c r="G61" s="57">
        <f>F61*(1+'Rhaniad y Ddeiliadaeth (C&amp;De-o)'!F$109)+(F$44*(-(50-$B61)*('Rhaniad y Ddeiliadaeth (C&amp;De-o)'!F$110/40)))</f>
        <v>39971.207046930576</v>
      </c>
      <c r="H61" s="58">
        <f>G61*(1+'Rhaniad y Ddeiliadaeth (C&amp;De-o)'!G$109)+(G$44*(-(50-$B61)*('Rhaniad y Ddeiliadaeth (C&amp;De-o)'!G$110/40)))</f>
        <v>41614.524263678009</v>
      </c>
      <c r="L61" s="62" t="str">
        <f t="shared" si="0"/>
        <v/>
      </c>
      <c r="M61" s="227"/>
      <c r="N61" s="14">
        <f t="shared" si="3"/>
        <v>1</v>
      </c>
      <c r="T61" s="1">
        <f t="shared" si="1"/>
        <v>67</v>
      </c>
      <c r="U61" s="4" t="str">
        <f t="shared" si="2"/>
        <v/>
      </c>
      <c r="V61" s="4" t="e">
        <f>IF($V$3=$M$3,M61,U61*(1+'Rhaniad y Ddeiliadaeth (C&amp;De-o)'!C$109)+(U$44*(-(50-$T61)*('Rhaniad y Ddeiliadaeth (C&amp;De-o)'!C$110/40))))</f>
        <v>#VALUE!</v>
      </c>
      <c r="W61" s="4" t="e">
        <f>V61*(1+'Rhaniad y Ddeiliadaeth (C&amp;De-o)'!D$109)+(V$44*(-(50-$T61)*('Rhaniad y Ddeiliadaeth (C&amp;De-o)'!D$110/40)))</f>
        <v>#VALUE!</v>
      </c>
      <c r="X61" s="4" t="e">
        <f>W61*(1+'Rhaniad y Ddeiliadaeth (C&amp;De-o)'!E$109)+(W$44*(-(50-$T61)*('Rhaniad y Ddeiliadaeth (C&amp;De-o)'!E$110/40)))</f>
        <v>#VALUE!</v>
      </c>
      <c r="Y61" s="4" t="e">
        <f>X61*(1+'Rhaniad y Ddeiliadaeth (C&amp;De-o)'!F$109)+(X$44*(-(50-$T61)*('Rhaniad y Ddeiliadaeth (C&amp;De-o)'!F$110/40)))</f>
        <v>#VALUE!</v>
      </c>
      <c r="Z61" s="4" t="e">
        <f>Y61*(1+'Rhaniad y Ddeiliadaeth (C&amp;De-o)'!G$109)+(Y$44*(-(50-$T61)*('Rhaniad y Ddeiliadaeth (C&amp;De-o)'!G$110/40)))</f>
        <v>#VALUE!</v>
      </c>
      <c r="AB61" s="1">
        <v>67</v>
      </c>
      <c r="AC61" s="4">
        <f>IF('Rhaniad y Ddeiliadaeth (Cymru)'!$D$8="Amcangyfrifon LlC",'Incwm (Canol. &amp; De-orll)'!D61,'Incwm (Canol. &amp; De-orll)'!V61)</f>
        <v>36059.628540894053</v>
      </c>
      <c r="AD61" s="4">
        <f>IF('Rhaniad y Ddeiliadaeth (Cymru)'!$D$8="Amcangyfrifon LlC",'Incwm (Canol. &amp; De-orll)'!E61,'Incwm (Canol. &amp; De-orll)'!W61)</f>
        <v>37097.741585877557</v>
      </c>
      <c r="AE61" s="4">
        <f>IF('Rhaniad y Ddeiliadaeth (Cymru)'!$D$8="Amcangyfrifon LlC",'Incwm (Canol. &amp; De-orll)'!F61,'Incwm (Canol. &amp; De-orll)'!X61)</f>
        <v>38428.489503473444</v>
      </c>
      <c r="AF61" s="4">
        <f>IF('Rhaniad y Ddeiliadaeth (Cymru)'!$D$8="Amcangyfrifon LlC",'Incwm (Canol. &amp; De-orll)'!G61,'Incwm (Canol. &amp; De-orll)'!Y61)</f>
        <v>39971.207046930576</v>
      </c>
      <c r="AG61" s="4">
        <f>IF('Rhaniad y Ddeiliadaeth (Cymru)'!$D$8="Amcangyfrifon LlC",'Incwm (Canol. &amp; De-orll)'!H61,'Incwm (Canol. &amp; De-orll)'!Z61)</f>
        <v>41614.524263678009</v>
      </c>
    </row>
    <row r="62" spans="2:33" x14ac:dyDescent="0.25">
      <c r="B62" s="20">
        <v>68</v>
      </c>
      <c r="C62" s="56">
        <v>35445.75</v>
      </c>
      <c r="D62" s="57">
        <f>C62*(1+'Rhaniad y Ddeiliadaeth (C&amp;De-o)'!C$109)+(C$44*(-(50-$B62)*('Rhaniad y Ddeiliadaeth (C&amp;De-o)'!C$110/40)))</f>
        <v>36813.217152391589</v>
      </c>
      <c r="E62" s="57">
        <f>D62*(1+'Rhaniad y Ddeiliadaeth (C&amp;De-o)'!D$109)+(D$44*(-(50-$B62)*('Rhaniad y Ddeiliadaeth (C&amp;De-o)'!D$110/40)))</f>
        <v>37877.233914996345</v>
      </c>
      <c r="F62" s="57">
        <f>E62*(1+'Rhaniad y Ddeiliadaeth (C&amp;De-o)'!E$109)+(E$44*(-(50-$B62)*('Rhaniad y Ddeiliadaeth (C&amp;De-o)'!E$110/40)))</f>
        <v>39240.247426812362</v>
      </c>
      <c r="G62" s="57">
        <f>F62*(1+'Rhaniad y Ddeiliadaeth (C&amp;De-o)'!F$109)+(F$44*(-(50-$B62)*('Rhaniad y Ddeiliadaeth (C&amp;De-o)'!F$110/40)))</f>
        <v>40819.985248905126</v>
      </c>
      <c r="H62" s="58">
        <f>G62*(1+'Rhaniad y Ddeiliadaeth (C&amp;De-o)'!G$109)+(G$44*(-(50-$B62)*('Rhaniad y Ddeiliadaeth (C&amp;De-o)'!G$110/40)))</f>
        <v>42502.780863728716</v>
      </c>
      <c r="L62" s="62" t="str">
        <f t="shared" si="0"/>
        <v/>
      </c>
      <c r="M62" s="227"/>
      <c r="N62" s="14">
        <f t="shared" si="3"/>
        <v>1</v>
      </c>
      <c r="T62" s="1">
        <f t="shared" si="1"/>
        <v>68</v>
      </c>
      <c r="U62" s="4" t="str">
        <f t="shared" si="2"/>
        <v/>
      </c>
      <c r="V62" s="4" t="e">
        <f>IF($V$3=$M$3,M62,U62*(1+'Rhaniad y Ddeiliadaeth (C&amp;De-o)'!C$109)+(U$44*(-(50-$T62)*('Rhaniad y Ddeiliadaeth (C&amp;De-o)'!C$110/40))))</f>
        <v>#VALUE!</v>
      </c>
      <c r="W62" s="4" t="e">
        <f>V62*(1+'Rhaniad y Ddeiliadaeth (C&amp;De-o)'!D$109)+(V$44*(-(50-$T62)*('Rhaniad y Ddeiliadaeth (C&amp;De-o)'!D$110/40)))</f>
        <v>#VALUE!</v>
      </c>
      <c r="X62" s="4" t="e">
        <f>W62*(1+'Rhaniad y Ddeiliadaeth (C&amp;De-o)'!E$109)+(W$44*(-(50-$T62)*('Rhaniad y Ddeiliadaeth (C&amp;De-o)'!E$110/40)))</f>
        <v>#VALUE!</v>
      </c>
      <c r="Y62" s="4" t="e">
        <f>X62*(1+'Rhaniad y Ddeiliadaeth (C&amp;De-o)'!F$109)+(X$44*(-(50-$T62)*('Rhaniad y Ddeiliadaeth (C&amp;De-o)'!F$110/40)))</f>
        <v>#VALUE!</v>
      </c>
      <c r="Z62" s="4" t="e">
        <f>Y62*(1+'Rhaniad y Ddeiliadaeth (C&amp;De-o)'!G$109)+(Y$44*(-(50-$T62)*('Rhaniad y Ddeiliadaeth (C&amp;De-o)'!G$110/40)))</f>
        <v>#VALUE!</v>
      </c>
      <c r="AB62" s="1">
        <v>68</v>
      </c>
      <c r="AC62" s="4">
        <f>IF('Rhaniad y Ddeiliadaeth (Cymru)'!$D$8="Amcangyfrifon LlC",'Incwm (Canol. &amp; De-orll)'!D62,'Incwm (Canol. &amp; De-orll)'!V62)</f>
        <v>36813.217152391589</v>
      </c>
      <c r="AD62" s="4">
        <f>IF('Rhaniad y Ddeiliadaeth (Cymru)'!$D$8="Amcangyfrifon LlC",'Incwm (Canol. &amp; De-orll)'!E62,'Incwm (Canol. &amp; De-orll)'!W62)</f>
        <v>37877.233914996345</v>
      </c>
      <c r="AE62" s="4">
        <f>IF('Rhaniad y Ddeiliadaeth (Cymru)'!$D$8="Amcangyfrifon LlC",'Incwm (Canol. &amp; De-orll)'!F62,'Incwm (Canol. &amp; De-orll)'!X62)</f>
        <v>39240.247426812362</v>
      </c>
      <c r="AF62" s="4">
        <f>IF('Rhaniad y Ddeiliadaeth (Cymru)'!$D$8="Amcangyfrifon LlC",'Incwm (Canol. &amp; De-orll)'!G62,'Incwm (Canol. &amp; De-orll)'!Y62)</f>
        <v>40819.985248905126</v>
      </c>
      <c r="AG62" s="4">
        <f>IF('Rhaniad y Ddeiliadaeth (Cymru)'!$D$8="Amcangyfrifon LlC",'Incwm (Canol. &amp; De-orll)'!H62,'Incwm (Canol. &amp; De-orll)'!Z62)</f>
        <v>42502.780863728716</v>
      </c>
    </row>
    <row r="63" spans="2:33" x14ac:dyDescent="0.25">
      <c r="B63" s="20">
        <v>69</v>
      </c>
      <c r="C63" s="56">
        <v>36215</v>
      </c>
      <c r="D63" s="57">
        <f>C63*(1+'Rhaniad y Ddeiliadaeth (C&amp;De-o)'!C$109)+(C$44*(-(50-$B63)*('Rhaniad y Ddeiliadaeth (C&amp;De-o)'!C$110/40)))</f>
        <v>37615.986188615316</v>
      </c>
      <c r="E63" s="57">
        <f>D63*(1+'Rhaniad y Ddeiliadaeth (C&amp;De-o)'!D$109)+(D$44*(-(50-$B63)*('Rhaniad y Ddeiliadaeth (C&amp;De-o)'!D$110/40)))</f>
        <v>38707.171156306176</v>
      </c>
      <c r="F63" s="57">
        <f>E63*(1+'Rhaniad y Ddeiliadaeth (C&amp;De-o)'!E$109)+(E$44*(-(50-$B63)*('Rhaniad y Ddeiliadaeth (C&amp;De-o)'!E$110/40)))</f>
        <v>40104.105007379585</v>
      </c>
      <c r="G63" s="57">
        <f>F63*(1+'Rhaniad y Ddeiliadaeth (C&amp;De-o)'!F$109)+(F$44*(-(50-$B63)*('Rhaniad y Ddeiliadaeth (C&amp;De-o)'!F$110/40)))</f>
        <v>41722.795268314447</v>
      </c>
      <c r="H63" s="58">
        <f>G63*(1+'Rhaniad y Ddeiliadaeth (C&amp;De-o)'!G$109)+(G$44*(-(50-$B63)*('Rhaniad y Ddeiliadaeth (C&amp;De-o)'!G$110/40)))</f>
        <v>43447.12585230203</v>
      </c>
      <c r="L63" s="62" t="str">
        <f t="shared" si="0"/>
        <v/>
      </c>
      <c r="M63" s="227"/>
      <c r="N63" s="14">
        <f t="shared" si="3"/>
        <v>1</v>
      </c>
      <c r="T63" s="1">
        <f t="shared" si="1"/>
        <v>69</v>
      </c>
      <c r="U63" s="4" t="str">
        <f t="shared" si="2"/>
        <v/>
      </c>
      <c r="V63" s="4" t="e">
        <f>IF($V$3=$M$3,M63,U63*(1+'Rhaniad y Ddeiliadaeth (C&amp;De-o)'!C$109)+(U$44*(-(50-$T63)*('Rhaniad y Ddeiliadaeth (C&amp;De-o)'!C$110/40))))</f>
        <v>#VALUE!</v>
      </c>
      <c r="W63" s="4" t="e">
        <f>V63*(1+'Rhaniad y Ddeiliadaeth (C&amp;De-o)'!D$109)+(V$44*(-(50-$T63)*('Rhaniad y Ddeiliadaeth (C&amp;De-o)'!D$110/40)))</f>
        <v>#VALUE!</v>
      </c>
      <c r="X63" s="4" t="e">
        <f>W63*(1+'Rhaniad y Ddeiliadaeth (C&amp;De-o)'!E$109)+(W$44*(-(50-$T63)*('Rhaniad y Ddeiliadaeth (C&amp;De-o)'!E$110/40)))</f>
        <v>#VALUE!</v>
      </c>
      <c r="Y63" s="4" t="e">
        <f>X63*(1+'Rhaniad y Ddeiliadaeth (C&amp;De-o)'!F$109)+(X$44*(-(50-$T63)*('Rhaniad y Ddeiliadaeth (C&amp;De-o)'!F$110/40)))</f>
        <v>#VALUE!</v>
      </c>
      <c r="Z63" s="4" t="e">
        <f>Y63*(1+'Rhaniad y Ddeiliadaeth (C&amp;De-o)'!G$109)+(Y$44*(-(50-$T63)*('Rhaniad y Ddeiliadaeth (C&amp;De-o)'!G$110/40)))</f>
        <v>#VALUE!</v>
      </c>
      <c r="AB63" s="1">
        <v>69</v>
      </c>
      <c r="AC63" s="4">
        <f>IF('Rhaniad y Ddeiliadaeth (Cymru)'!$D$8="Amcangyfrifon LlC",'Incwm (Canol. &amp; De-orll)'!D63,'Incwm (Canol. &amp; De-orll)'!V63)</f>
        <v>37615.986188615316</v>
      </c>
      <c r="AD63" s="4">
        <f>IF('Rhaniad y Ddeiliadaeth (Cymru)'!$D$8="Amcangyfrifon LlC",'Incwm (Canol. &amp; De-orll)'!E63,'Incwm (Canol. &amp; De-orll)'!W63)</f>
        <v>38707.171156306176</v>
      </c>
      <c r="AE63" s="4">
        <f>IF('Rhaniad y Ddeiliadaeth (Cymru)'!$D$8="Amcangyfrifon LlC",'Incwm (Canol. &amp; De-orll)'!F63,'Incwm (Canol. &amp; De-orll)'!X63)</f>
        <v>40104.105007379585</v>
      </c>
      <c r="AF63" s="4">
        <f>IF('Rhaniad y Ddeiliadaeth (Cymru)'!$D$8="Amcangyfrifon LlC",'Incwm (Canol. &amp; De-orll)'!G63,'Incwm (Canol. &amp; De-orll)'!Y63)</f>
        <v>41722.795268314447</v>
      </c>
      <c r="AG63" s="4">
        <f>IF('Rhaniad y Ddeiliadaeth (Cymru)'!$D$8="Amcangyfrifon LlC",'Incwm (Canol. &amp; De-orll)'!H63,'Incwm (Canol. &amp; De-orll)'!Z63)</f>
        <v>43447.12585230203</v>
      </c>
    </row>
    <row r="64" spans="2:33" x14ac:dyDescent="0.25">
      <c r="B64" s="20">
        <v>70</v>
      </c>
      <c r="C64" s="56">
        <v>36738.9</v>
      </c>
      <c r="D64" s="57">
        <f>C64*(1+'Rhaniad y Ddeiliadaeth (C&amp;De-o)'!C$109)+(C$44*(-(50-$B64)*('Rhaniad y Ddeiliadaeth (C&amp;De-o)'!C$110/40)))</f>
        <v>38164.725388911203</v>
      </c>
      <c r="E64" s="57">
        <f>D64*(1+'Rhaniad y Ddeiliadaeth (C&amp;De-o)'!D$109)+(D$44*(-(50-$B64)*('Rhaniad y Ddeiliadaeth (C&amp;De-o)'!D$110/40)))</f>
        <v>39276.547151172374</v>
      </c>
      <c r="F64" s="57">
        <f>E64*(1+'Rhaniad y Ddeiliadaeth (C&amp;De-o)'!E$109)+(E$44*(-(50-$B64)*('Rhaniad y Ddeiliadaeth (C&amp;De-o)'!E$110/40)))</f>
        <v>40698.854147926475</v>
      </c>
      <c r="G64" s="57">
        <f>F64*(1+'Rhaniad y Ddeiliadaeth (C&amp;De-o)'!F$109)+(F$44*(-(50-$B64)*('Rhaniad y Ddeiliadaeth (C&amp;De-o)'!F$110/40)))</f>
        <v>42346.516731773852</v>
      </c>
      <c r="H64" s="58">
        <f>G64*(1+'Rhaniad y Ddeiliadaeth (C&amp;De-o)'!G$109)+(G$44*(-(50-$B64)*('Rhaniad y Ddeiliadaeth (C&amp;De-o)'!G$110/40)))</f>
        <v>44101.759554053839</v>
      </c>
      <c r="L64" s="62" t="str">
        <f t="shared" si="0"/>
        <v/>
      </c>
      <c r="M64" s="227"/>
      <c r="N64" s="14">
        <f t="shared" si="3"/>
        <v>1</v>
      </c>
      <c r="T64" s="1">
        <f t="shared" si="1"/>
        <v>70</v>
      </c>
      <c r="U64" s="4" t="str">
        <f t="shared" si="2"/>
        <v/>
      </c>
      <c r="V64" s="4" t="e">
        <f>IF($V$3=$M$3,M64,U64*(1+'Rhaniad y Ddeiliadaeth (C&amp;De-o)'!C$109)+(U$44*(-(50-$T64)*('Rhaniad y Ddeiliadaeth (C&amp;De-o)'!C$110/40))))</f>
        <v>#VALUE!</v>
      </c>
      <c r="W64" s="4" t="e">
        <f>V64*(1+'Rhaniad y Ddeiliadaeth (C&amp;De-o)'!D$109)+(V$44*(-(50-$T64)*('Rhaniad y Ddeiliadaeth (C&amp;De-o)'!D$110/40)))</f>
        <v>#VALUE!</v>
      </c>
      <c r="X64" s="4" t="e">
        <f>W64*(1+'Rhaniad y Ddeiliadaeth (C&amp;De-o)'!E$109)+(W$44*(-(50-$T64)*('Rhaniad y Ddeiliadaeth (C&amp;De-o)'!E$110/40)))</f>
        <v>#VALUE!</v>
      </c>
      <c r="Y64" s="4" t="e">
        <f>X64*(1+'Rhaniad y Ddeiliadaeth (C&amp;De-o)'!F$109)+(X$44*(-(50-$T64)*('Rhaniad y Ddeiliadaeth (C&amp;De-o)'!F$110/40)))</f>
        <v>#VALUE!</v>
      </c>
      <c r="Z64" s="4" t="e">
        <f>Y64*(1+'Rhaniad y Ddeiliadaeth (C&amp;De-o)'!G$109)+(Y$44*(-(50-$T64)*('Rhaniad y Ddeiliadaeth (C&amp;De-o)'!G$110/40)))</f>
        <v>#VALUE!</v>
      </c>
      <c r="AB64" s="1">
        <v>70</v>
      </c>
      <c r="AC64" s="4">
        <f>IF('Rhaniad y Ddeiliadaeth (Cymru)'!$D$8="Amcangyfrifon LlC",'Incwm (Canol. &amp; De-orll)'!D64,'Incwm (Canol. &amp; De-orll)'!V64)</f>
        <v>38164.725388911203</v>
      </c>
      <c r="AD64" s="4">
        <f>IF('Rhaniad y Ddeiliadaeth (Cymru)'!$D$8="Amcangyfrifon LlC",'Incwm (Canol. &amp; De-orll)'!E64,'Incwm (Canol. &amp; De-orll)'!W64)</f>
        <v>39276.547151172374</v>
      </c>
      <c r="AE64" s="4">
        <f>IF('Rhaniad y Ddeiliadaeth (Cymru)'!$D$8="Amcangyfrifon LlC",'Incwm (Canol. &amp; De-orll)'!F64,'Incwm (Canol. &amp; De-orll)'!X64)</f>
        <v>40698.854147926475</v>
      </c>
      <c r="AF64" s="4">
        <f>IF('Rhaniad y Ddeiliadaeth (Cymru)'!$D$8="Amcangyfrifon LlC",'Incwm (Canol. &amp; De-orll)'!G64,'Incwm (Canol. &amp; De-orll)'!Y64)</f>
        <v>42346.516731773852</v>
      </c>
      <c r="AG64" s="4">
        <f>IF('Rhaniad y Ddeiliadaeth (Cymru)'!$D$8="Amcangyfrifon LlC",'Incwm (Canol. &amp; De-orll)'!H64,'Incwm (Canol. &amp; De-orll)'!Z64)</f>
        <v>44101.759554053839</v>
      </c>
    </row>
    <row r="65" spans="2:33" x14ac:dyDescent="0.25">
      <c r="B65" s="20">
        <v>71</v>
      </c>
      <c r="C65" s="56">
        <v>37805.839999999997</v>
      </c>
      <c r="D65" s="57">
        <f>C65*(1+'Rhaniad y Ddeiliadaeth (C&amp;De-o)'!C$109)+(C$44*(-(50-$B65)*('Rhaniad y Ddeiliadaeth (C&amp;De-o)'!C$110/40)))</f>
        <v>39275.715912224223</v>
      </c>
      <c r="E65" s="57">
        <f>D65*(1+'Rhaniad y Ddeiliadaeth (C&amp;De-o)'!D$109)+(D$44*(-(50-$B65)*('Rhaniad y Ddeiliadaeth (C&amp;De-o)'!D$110/40)))</f>
        <v>40422.630622169614</v>
      </c>
      <c r="F65" s="57">
        <f>E65*(1+'Rhaniad y Ddeiliadaeth (C&amp;De-o)'!E$109)+(E$44*(-(50-$B65)*('Rhaniad y Ddeiliadaeth (C&amp;De-o)'!E$110/40)))</f>
        <v>41889.228506605192</v>
      </c>
      <c r="G65" s="57">
        <f>F65*(1+'Rhaniad y Ddeiliadaeth (C&amp;De-o)'!F$109)+(F$44*(-(50-$B65)*('Rhaniad y Ddeiliadaeth (C&amp;De-o)'!F$110/40)))</f>
        <v>43587.952682386487</v>
      </c>
      <c r="H65" s="58">
        <f>G65*(1+'Rhaniad y Ddeiliadaeth (C&amp;De-o)'!G$109)+(G$44*(-(50-$B65)*('Rhaniad y Ddeiliadaeth (C&amp;De-o)'!G$110/40)))</f>
        <v>45397.619329559668</v>
      </c>
      <c r="L65" s="62" t="str">
        <f t="shared" si="0"/>
        <v/>
      </c>
      <c r="M65" s="227"/>
      <c r="N65" s="14">
        <f t="shared" si="3"/>
        <v>1</v>
      </c>
      <c r="T65" s="1">
        <f t="shared" si="1"/>
        <v>71</v>
      </c>
      <c r="U65" s="4" t="str">
        <f t="shared" si="2"/>
        <v/>
      </c>
      <c r="V65" s="4" t="e">
        <f>IF($V$3=$M$3,M65,U65*(1+'Rhaniad y Ddeiliadaeth (C&amp;De-o)'!C$109)+(U$44*(-(50-$T65)*('Rhaniad y Ddeiliadaeth (C&amp;De-o)'!C$110/40))))</f>
        <v>#VALUE!</v>
      </c>
      <c r="W65" s="4" t="e">
        <f>V65*(1+'Rhaniad y Ddeiliadaeth (C&amp;De-o)'!D$109)+(V$44*(-(50-$T65)*('Rhaniad y Ddeiliadaeth (C&amp;De-o)'!D$110/40)))</f>
        <v>#VALUE!</v>
      </c>
      <c r="X65" s="4" t="e">
        <f>W65*(1+'Rhaniad y Ddeiliadaeth (C&amp;De-o)'!E$109)+(W$44*(-(50-$T65)*('Rhaniad y Ddeiliadaeth (C&amp;De-o)'!E$110/40)))</f>
        <v>#VALUE!</v>
      </c>
      <c r="Y65" s="4" t="e">
        <f>X65*(1+'Rhaniad y Ddeiliadaeth (C&amp;De-o)'!F$109)+(X$44*(-(50-$T65)*('Rhaniad y Ddeiliadaeth (C&amp;De-o)'!F$110/40)))</f>
        <v>#VALUE!</v>
      </c>
      <c r="Z65" s="4" t="e">
        <f>Y65*(1+'Rhaniad y Ddeiliadaeth (C&amp;De-o)'!G$109)+(Y$44*(-(50-$T65)*('Rhaniad y Ddeiliadaeth (C&amp;De-o)'!G$110/40)))</f>
        <v>#VALUE!</v>
      </c>
      <c r="AB65" s="1">
        <v>71</v>
      </c>
      <c r="AC65" s="4">
        <f>IF('Rhaniad y Ddeiliadaeth (Cymru)'!$D$8="Amcangyfrifon LlC",'Incwm (Canol. &amp; De-orll)'!D65,'Incwm (Canol. &amp; De-orll)'!V65)</f>
        <v>39275.715912224223</v>
      </c>
      <c r="AD65" s="4">
        <f>IF('Rhaniad y Ddeiliadaeth (Cymru)'!$D$8="Amcangyfrifon LlC",'Incwm (Canol. &amp; De-orll)'!E65,'Incwm (Canol. &amp; De-orll)'!W65)</f>
        <v>40422.630622169614</v>
      </c>
      <c r="AE65" s="4">
        <f>IF('Rhaniad y Ddeiliadaeth (Cymru)'!$D$8="Amcangyfrifon LlC",'Incwm (Canol. &amp; De-orll)'!F65,'Incwm (Canol. &amp; De-orll)'!X65)</f>
        <v>41889.228506605192</v>
      </c>
      <c r="AF65" s="4">
        <f>IF('Rhaniad y Ddeiliadaeth (Cymru)'!$D$8="Amcangyfrifon LlC",'Incwm (Canol. &amp; De-orll)'!G65,'Incwm (Canol. &amp; De-orll)'!Y65)</f>
        <v>43587.952682386487</v>
      </c>
      <c r="AG65" s="4">
        <f>IF('Rhaniad y Ddeiliadaeth (Cymru)'!$D$8="Amcangyfrifon LlC",'Incwm (Canol. &amp; De-orll)'!H65,'Incwm (Canol. &amp; De-orll)'!Z65)</f>
        <v>45397.619329559668</v>
      </c>
    </row>
    <row r="66" spans="2:33" x14ac:dyDescent="0.25">
      <c r="B66" s="20">
        <v>72</v>
      </c>
      <c r="C66" s="56">
        <v>38550</v>
      </c>
      <c r="D66" s="57">
        <f>C66*(1+'Rhaniad y Ddeiliadaeth (C&amp;De-o)'!C$109)+(C$44*(-(50-$B66)*('Rhaniad y Ddeiliadaeth (C&amp;De-o)'!C$110/40)))</f>
        <v>40052.507330418899</v>
      </c>
      <c r="E66" s="57">
        <f>D66*(1+'Rhaniad y Ddeiliadaeth (C&amp;De-o)'!D$109)+(D$44*(-(50-$B66)*('Rhaniad y Ddeiliadaeth (C&amp;De-o)'!D$110/40)))</f>
        <v>41225.922329861074</v>
      </c>
      <c r="F66" s="57">
        <f>E66*(1+'Rhaniad y Ddeiliadaeth (C&amp;De-o)'!E$109)+(E$44*(-(50-$B66)*('Rhaniad y Ddeiliadaeth (C&amp;De-o)'!E$110/40)))</f>
        <v>42725.566499806999</v>
      </c>
      <c r="G66" s="57">
        <f>F66*(1+'Rhaniad y Ddeiliadaeth (C&amp;De-o)'!F$109)+(F$44*(-(50-$B66)*('Rhaniad y Ddeiliadaeth (C&amp;De-o)'!F$110/40)))</f>
        <v>44462.222527070808</v>
      </c>
      <c r="H66" s="58">
        <f>G66*(1+'Rhaniad y Ddeiliadaeth (C&amp;De-o)'!G$109)+(G$44*(-(50-$B66)*('Rhaniad y Ddeiliadaeth (C&amp;De-o)'!G$110/40)))</f>
        <v>46312.33784091127</v>
      </c>
      <c r="L66" s="62" t="str">
        <f t="shared" si="0"/>
        <v/>
      </c>
      <c r="M66" s="227"/>
      <c r="N66" s="14">
        <f t="shared" si="3"/>
        <v>1</v>
      </c>
      <c r="T66" s="1">
        <f t="shared" si="1"/>
        <v>72</v>
      </c>
      <c r="U66" s="4" t="str">
        <f t="shared" si="2"/>
        <v/>
      </c>
      <c r="V66" s="4" t="e">
        <f>IF($V$3=$M$3,M66,U66*(1+'Rhaniad y Ddeiliadaeth (C&amp;De-o)'!C$109)+(U$44*(-(50-$T66)*('Rhaniad y Ddeiliadaeth (C&amp;De-o)'!C$110/40))))</f>
        <v>#VALUE!</v>
      </c>
      <c r="W66" s="4" t="e">
        <f>V66*(1+'Rhaniad y Ddeiliadaeth (C&amp;De-o)'!D$109)+(V$44*(-(50-$T66)*('Rhaniad y Ddeiliadaeth (C&amp;De-o)'!D$110/40)))</f>
        <v>#VALUE!</v>
      </c>
      <c r="X66" s="4" t="e">
        <f>W66*(1+'Rhaniad y Ddeiliadaeth (C&amp;De-o)'!E$109)+(W$44*(-(50-$T66)*('Rhaniad y Ddeiliadaeth (C&amp;De-o)'!E$110/40)))</f>
        <v>#VALUE!</v>
      </c>
      <c r="Y66" s="4" t="e">
        <f>X66*(1+'Rhaniad y Ddeiliadaeth (C&amp;De-o)'!F$109)+(X$44*(-(50-$T66)*('Rhaniad y Ddeiliadaeth (C&amp;De-o)'!F$110/40)))</f>
        <v>#VALUE!</v>
      </c>
      <c r="Z66" s="4" t="e">
        <f>Y66*(1+'Rhaniad y Ddeiliadaeth (C&amp;De-o)'!G$109)+(Y$44*(-(50-$T66)*('Rhaniad y Ddeiliadaeth (C&amp;De-o)'!G$110/40)))</f>
        <v>#VALUE!</v>
      </c>
      <c r="AB66" s="1">
        <v>72</v>
      </c>
      <c r="AC66" s="4">
        <f>IF('Rhaniad y Ddeiliadaeth (Cymru)'!$D$8="Amcangyfrifon LlC",'Incwm (Canol. &amp; De-orll)'!D66,'Incwm (Canol. &amp; De-orll)'!V66)</f>
        <v>40052.507330418899</v>
      </c>
      <c r="AD66" s="4">
        <f>IF('Rhaniad y Ddeiliadaeth (Cymru)'!$D$8="Amcangyfrifon LlC",'Incwm (Canol. &amp; De-orll)'!E66,'Incwm (Canol. &amp; De-orll)'!W66)</f>
        <v>41225.922329861074</v>
      </c>
      <c r="AE66" s="4">
        <f>IF('Rhaniad y Ddeiliadaeth (Cymru)'!$D$8="Amcangyfrifon LlC",'Incwm (Canol. &amp; De-orll)'!F66,'Incwm (Canol. &amp; De-orll)'!X66)</f>
        <v>42725.566499806999</v>
      </c>
      <c r="AF66" s="4">
        <f>IF('Rhaniad y Ddeiliadaeth (Cymru)'!$D$8="Amcangyfrifon LlC",'Incwm (Canol. &amp; De-orll)'!G66,'Incwm (Canol. &amp; De-orll)'!Y66)</f>
        <v>44462.222527070808</v>
      </c>
      <c r="AG66" s="4">
        <f>IF('Rhaniad y Ddeiliadaeth (Cymru)'!$D$8="Amcangyfrifon LlC",'Incwm (Canol. &amp; De-orll)'!H66,'Incwm (Canol. &amp; De-orll)'!Z66)</f>
        <v>46312.33784091127</v>
      </c>
    </row>
    <row r="67" spans="2:33" x14ac:dyDescent="0.25">
      <c r="B67" s="20">
        <v>73</v>
      </c>
      <c r="C67" s="56">
        <v>39577</v>
      </c>
      <c r="D67" s="57">
        <f>C67*(1+'Rhaniad y Ddeiliadaeth (C&amp;De-o)'!C$109)+(C$44*(-(50-$B67)*('Rhaniad y Ddeiliadaeth (C&amp;De-o)'!C$110/40)))</f>
        <v>41122.144881867411</v>
      </c>
      <c r="E67" s="57">
        <f>D67*(1+'Rhaniad y Ddeiliadaeth (C&amp;De-o)'!D$109)+(D$44*(-(50-$B67)*('Rhaniad y Ddeiliadaeth (C&amp;De-o)'!D$110/40)))</f>
        <v>42329.589594691781</v>
      </c>
      <c r="F67" s="57">
        <f>E67*(1+'Rhaniad y Ddeiliadaeth (C&amp;De-o)'!E$109)+(E$44*(-(50-$B67)*('Rhaniad y Ddeiliadaeth (C&amp;De-o)'!E$110/40)))</f>
        <v>43872.133273018379</v>
      </c>
      <c r="G67" s="57">
        <f>F67*(1+'Rhaniad y Ddeiliadaeth (C&amp;De-o)'!F$109)+(F$44*(-(50-$B67)*('Rhaniad y Ddeiliadaeth (C&amp;De-o)'!F$110/40)))</f>
        <v>45658.226250560401</v>
      </c>
      <c r="H67" s="58">
        <f>G67*(1+'Rhaniad y Ddeiliadaeth (C&amp;De-o)'!G$109)+(G$44*(-(50-$B67)*('Rhaniad y Ddeiliadaeth (C&amp;De-o)'!G$110/40)))</f>
        <v>47561.036137730945</v>
      </c>
      <c r="L67" s="62" t="str">
        <f t="shared" si="0"/>
        <v/>
      </c>
      <c r="M67" s="227"/>
      <c r="N67" s="14">
        <f t="shared" si="3"/>
        <v>1</v>
      </c>
      <c r="T67" s="1">
        <f t="shared" si="1"/>
        <v>73</v>
      </c>
      <c r="U67" s="4" t="str">
        <f t="shared" si="2"/>
        <v/>
      </c>
      <c r="V67" s="4" t="e">
        <f>IF($V$3=$M$3,M67,U67*(1+'Rhaniad y Ddeiliadaeth (C&amp;De-o)'!C$109)+(U$44*(-(50-$T67)*('Rhaniad y Ddeiliadaeth (C&amp;De-o)'!C$110/40))))</f>
        <v>#VALUE!</v>
      </c>
      <c r="W67" s="4" t="e">
        <f>V67*(1+'Rhaniad y Ddeiliadaeth (C&amp;De-o)'!D$109)+(V$44*(-(50-$T67)*('Rhaniad y Ddeiliadaeth (C&amp;De-o)'!D$110/40)))</f>
        <v>#VALUE!</v>
      </c>
      <c r="X67" s="4" t="e">
        <f>W67*(1+'Rhaniad y Ddeiliadaeth (C&amp;De-o)'!E$109)+(W$44*(-(50-$T67)*('Rhaniad y Ddeiliadaeth (C&amp;De-o)'!E$110/40)))</f>
        <v>#VALUE!</v>
      </c>
      <c r="Y67" s="4" t="e">
        <f>X67*(1+'Rhaniad y Ddeiliadaeth (C&amp;De-o)'!F$109)+(X$44*(-(50-$T67)*('Rhaniad y Ddeiliadaeth (C&amp;De-o)'!F$110/40)))</f>
        <v>#VALUE!</v>
      </c>
      <c r="Z67" s="4" t="e">
        <f>Y67*(1+'Rhaniad y Ddeiliadaeth (C&amp;De-o)'!G$109)+(Y$44*(-(50-$T67)*('Rhaniad y Ddeiliadaeth (C&amp;De-o)'!G$110/40)))</f>
        <v>#VALUE!</v>
      </c>
      <c r="AB67" s="1">
        <v>73</v>
      </c>
      <c r="AC67" s="4">
        <f>IF('Rhaniad y Ddeiliadaeth (Cymru)'!$D$8="Amcangyfrifon LlC",'Incwm (Canol. &amp; De-orll)'!D67,'Incwm (Canol. &amp; De-orll)'!V67)</f>
        <v>41122.144881867411</v>
      </c>
      <c r="AD67" s="4">
        <f>IF('Rhaniad y Ddeiliadaeth (Cymru)'!$D$8="Amcangyfrifon LlC",'Incwm (Canol. &amp; De-orll)'!E67,'Incwm (Canol. &amp; De-orll)'!W67)</f>
        <v>42329.589594691781</v>
      </c>
      <c r="AE67" s="4">
        <f>IF('Rhaniad y Ddeiliadaeth (Cymru)'!$D$8="Amcangyfrifon LlC",'Incwm (Canol. &amp; De-orll)'!F67,'Incwm (Canol. &amp; De-orll)'!X67)</f>
        <v>43872.133273018379</v>
      </c>
      <c r="AF67" s="4">
        <f>IF('Rhaniad y Ddeiliadaeth (Cymru)'!$D$8="Amcangyfrifon LlC",'Incwm (Canol. &amp; De-orll)'!G67,'Incwm (Canol. &amp; De-orll)'!Y67)</f>
        <v>45658.226250560401</v>
      </c>
      <c r="AG67" s="4">
        <f>IF('Rhaniad y Ddeiliadaeth (Cymru)'!$D$8="Amcangyfrifon LlC",'Incwm (Canol. &amp; De-orll)'!H67,'Incwm (Canol. &amp; De-orll)'!Z67)</f>
        <v>47561.036137730945</v>
      </c>
    </row>
    <row r="68" spans="2:33" x14ac:dyDescent="0.25">
      <c r="B68" s="20">
        <v>74</v>
      </c>
      <c r="C68" s="56">
        <v>40246.400000000001</v>
      </c>
      <c r="D68" s="57">
        <f>C68*(1+'Rhaniad y Ddeiliadaeth (C&amp;De-o)'!C$109)+(C$44*(-(50-$B68)*('Rhaniad y Ddeiliadaeth (C&amp;De-o)'!C$110/40)))</f>
        <v>41821.531488429864</v>
      </c>
      <c r="E68" s="57">
        <f>D68*(1+'Rhaniad y Ddeiliadaeth (C&amp;De-o)'!D$109)+(D$44*(-(50-$B68)*('Rhaniad y Ddeiliadaeth (C&amp;De-o)'!D$110/40)))</f>
        <v>43053.486320585282</v>
      </c>
      <c r="F68" s="57">
        <f>E68*(1+'Rhaniad y Ddeiliadaeth (C&amp;De-o)'!E$109)+(E$44*(-(50-$B68)*('Rhaniad y Ddeiliadaeth (C&amp;De-o)'!E$110/40)))</f>
        <v>44626.471889917244</v>
      </c>
      <c r="G68" s="57">
        <f>F68*(1+'Rhaniad y Ddeiliadaeth (C&amp;De-o)'!F$109)+(F$44*(-(50-$B68)*('Rhaniad y Ddeiliadaeth (C&amp;De-o)'!F$110/40)))</f>
        <v>46447.4557021621</v>
      </c>
      <c r="H68" s="58">
        <f>G68*(1+'Rhaniad y Ddeiliadaeth (C&amp;De-o)'!G$109)+(G$44*(-(50-$B68)*('Rhaniad y Ddeiliadaeth (C&amp;De-o)'!G$110/40)))</f>
        <v>48387.477429588842</v>
      </c>
      <c r="L68" s="62" t="str">
        <f t="shared" ref="L68:L84" si="4">IF(ISBLANK($K$4),"",B68)</f>
        <v/>
      </c>
      <c r="M68" s="227"/>
      <c r="N68" s="14">
        <f t="shared" si="3"/>
        <v>1</v>
      </c>
      <c r="T68" s="1">
        <f t="shared" ref="T68:T84" si="5">B68</f>
        <v>74</v>
      </c>
      <c r="U68" s="4" t="str">
        <f t="shared" ref="U68:U84" si="6">IF($M$3=$U$3,M68,"")</f>
        <v/>
      </c>
      <c r="V68" s="4" t="e">
        <f>IF($V$3=$M$3,M68,U68*(1+'Rhaniad y Ddeiliadaeth (C&amp;De-o)'!C$109)+(U$44*(-(50-$T68)*('Rhaniad y Ddeiliadaeth (C&amp;De-o)'!C$110/40))))</f>
        <v>#VALUE!</v>
      </c>
      <c r="W68" s="4" t="e">
        <f>V68*(1+'Rhaniad y Ddeiliadaeth (C&amp;De-o)'!D$109)+(V$44*(-(50-$T68)*('Rhaniad y Ddeiliadaeth (C&amp;De-o)'!D$110/40)))</f>
        <v>#VALUE!</v>
      </c>
      <c r="X68" s="4" t="e">
        <f>W68*(1+'Rhaniad y Ddeiliadaeth (C&amp;De-o)'!E$109)+(W$44*(-(50-$T68)*('Rhaniad y Ddeiliadaeth (C&amp;De-o)'!E$110/40)))</f>
        <v>#VALUE!</v>
      </c>
      <c r="Y68" s="4" t="e">
        <f>X68*(1+'Rhaniad y Ddeiliadaeth (C&amp;De-o)'!F$109)+(X$44*(-(50-$T68)*('Rhaniad y Ddeiliadaeth (C&amp;De-o)'!F$110/40)))</f>
        <v>#VALUE!</v>
      </c>
      <c r="Z68" s="4" t="e">
        <f>Y68*(1+'Rhaniad y Ddeiliadaeth (C&amp;De-o)'!G$109)+(Y$44*(-(50-$T68)*('Rhaniad y Ddeiliadaeth (C&amp;De-o)'!G$110/40)))</f>
        <v>#VALUE!</v>
      </c>
      <c r="AB68" s="1">
        <v>74</v>
      </c>
      <c r="AC68" s="4">
        <f>IF('Rhaniad y Ddeiliadaeth (Cymru)'!$D$8="Amcangyfrifon LlC",'Incwm (Canol. &amp; De-orll)'!D68,'Incwm (Canol. &amp; De-orll)'!V68)</f>
        <v>41821.531488429864</v>
      </c>
      <c r="AD68" s="4">
        <f>IF('Rhaniad y Ddeiliadaeth (Cymru)'!$D$8="Amcangyfrifon LlC",'Incwm (Canol. &amp; De-orll)'!E68,'Incwm (Canol. &amp; De-orll)'!W68)</f>
        <v>43053.486320585282</v>
      </c>
      <c r="AE68" s="4">
        <f>IF('Rhaniad y Ddeiliadaeth (Cymru)'!$D$8="Amcangyfrifon LlC",'Incwm (Canol. &amp; De-orll)'!F68,'Incwm (Canol. &amp; De-orll)'!X68)</f>
        <v>44626.471889917244</v>
      </c>
      <c r="AF68" s="4">
        <f>IF('Rhaniad y Ddeiliadaeth (Cymru)'!$D$8="Amcangyfrifon LlC",'Incwm (Canol. &amp; De-orll)'!G68,'Incwm (Canol. &amp; De-orll)'!Y68)</f>
        <v>46447.4557021621</v>
      </c>
      <c r="AG68" s="4">
        <f>IF('Rhaniad y Ddeiliadaeth (Cymru)'!$D$8="Amcangyfrifon LlC",'Incwm (Canol. &amp; De-orll)'!H68,'Incwm (Canol. &amp; De-orll)'!Z68)</f>
        <v>48387.477429588842</v>
      </c>
    </row>
    <row r="69" spans="2:33" x14ac:dyDescent="0.25">
      <c r="B69" s="20">
        <v>75</v>
      </c>
      <c r="C69" s="56">
        <v>41559.199999999997</v>
      </c>
      <c r="D69" s="57">
        <f>C69*(1+'Rhaniad y Ddeiliadaeth (C&amp;De-o)'!C$109)+(C$44*(-(50-$B69)*('Rhaniad y Ddeiliadaeth (C&amp;De-o)'!C$110/40)))</f>
        <v>43187.079890125686</v>
      </c>
      <c r="E69" s="57">
        <f>D69*(1+'Rhaniad y Ddeiliadaeth (C&amp;De-o)'!D$109)+(D$44*(-(50-$B69)*('Rhaniad y Ddeiliadaeth (C&amp;De-o)'!D$110/40)))</f>
        <v>44460.672657083378</v>
      </c>
      <c r="F69" s="57">
        <f>E69*(1+'Rhaniad y Ddeiliadaeth (C&amp;De-o)'!E$109)+(E$44*(-(50-$B69)*('Rhaniad y Ddeiliadaeth (C&amp;De-o)'!E$110/40)))</f>
        <v>46086.514074409715</v>
      </c>
      <c r="G69" s="57">
        <f>F69*(1+'Rhaniad y Ddeiliadaeth (C&amp;De-o)'!F$109)+(F$44*(-(50-$B69)*('Rhaniad y Ddeiliadaeth (C&amp;De-o)'!F$110/40)))</f>
        <v>47968.56033981713</v>
      </c>
      <c r="H69" s="58">
        <f>G69*(1+'Rhaniad y Ddeiliadaeth (C&amp;De-o)'!G$109)+(G$44*(-(50-$B69)*('Rhaniad y Ddeiliadaeth (C&amp;De-o)'!G$110/40)))</f>
        <v>49973.650704087704</v>
      </c>
      <c r="L69" s="62" t="str">
        <f t="shared" si="4"/>
        <v/>
      </c>
      <c r="M69" s="227"/>
      <c r="N69" s="14">
        <f t="shared" ref="N69:N84" si="7">IF(ISBLANK(M69),1,0)</f>
        <v>1</v>
      </c>
      <c r="T69" s="1">
        <f t="shared" si="5"/>
        <v>75</v>
      </c>
      <c r="U69" s="4" t="str">
        <f t="shared" si="6"/>
        <v/>
      </c>
      <c r="V69" s="4" t="e">
        <f>IF($V$3=$M$3,M69,U69*(1+'Rhaniad y Ddeiliadaeth (C&amp;De-o)'!C$109)+(U$44*(-(50-$T69)*('Rhaniad y Ddeiliadaeth (C&amp;De-o)'!C$110/40))))</f>
        <v>#VALUE!</v>
      </c>
      <c r="W69" s="4" t="e">
        <f>V69*(1+'Rhaniad y Ddeiliadaeth (C&amp;De-o)'!D$109)+(V$44*(-(50-$T69)*('Rhaniad y Ddeiliadaeth (C&amp;De-o)'!D$110/40)))</f>
        <v>#VALUE!</v>
      </c>
      <c r="X69" s="4" t="e">
        <f>W69*(1+'Rhaniad y Ddeiliadaeth (C&amp;De-o)'!E$109)+(W$44*(-(50-$T69)*('Rhaniad y Ddeiliadaeth (C&amp;De-o)'!E$110/40)))</f>
        <v>#VALUE!</v>
      </c>
      <c r="Y69" s="4" t="e">
        <f>X69*(1+'Rhaniad y Ddeiliadaeth (C&amp;De-o)'!F$109)+(X$44*(-(50-$T69)*('Rhaniad y Ddeiliadaeth (C&amp;De-o)'!F$110/40)))</f>
        <v>#VALUE!</v>
      </c>
      <c r="Z69" s="4" t="e">
        <f>Y69*(1+'Rhaniad y Ddeiliadaeth (C&amp;De-o)'!G$109)+(Y$44*(-(50-$T69)*('Rhaniad y Ddeiliadaeth (C&amp;De-o)'!G$110/40)))</f>
        <v>#VALUE!</v>
      </c>
      <c r="AB69" s="1">
        <v>75</v>
      </c>
      <c r="AC69" s="4">
        <f>IF('Rhaniad y Ddeiliadaeth (Cymru)'!$D$8="Amcangyfrifon LlC",'Incwm (Canol. &amp; De-orll)'!D69,'Incwm (Canol. &amp; De-orll)'!V69)</f>
        <v>43187.079890125686</v>
      </c>
      <c r="AD69" s="4">
        <f>IF('Rhaniad y Ddeiliadaeth (Cymru)'!$D$8="Amcangyfrifon LlC",'Incwm (Canol. &amp; De-orll)'!E69,'Incwm (Canol. &amp; De-orll)'!W69)</f>
        <v>44460.672657083378</v>
      </c>
      <c r="AE69" s="4">
        <f>IF('Rhaniad y Ddeiliadaeth (Cymru)'!$D$8="Amcangyfrifon LlC",'Incwm (Canol. &amp; De-orll)'!F69,'Incwm (Canol. &amp; De-orll)'!X69)</f>
        <v>46086.514074409715</v>
      </c>
      <c r="AF69" s="4">
        <f>IF('Rhaniad y Ddeiliadaeth (Cymru)'!$D$8="Amcangyfrifon LlC",'Incwm (Canol. &amp; De-orll)'!G69,'Incwm (Canol. &amp; De-orll)'!Y69)</f>
        <v>47968.56033981713</v>
      </c>
      <c r="AG69" s="4">
        <f>IF('Rhaniad y Ddeiliadaeth (Cymru)'!$D$8="Amcangyfrifon LlC",'Incwm (Canol. &amp; De-orll)'!H69,'Incwm (Canol. &amp; De-orll)'!Z69)</f>
        <v>49973.650704087704</v>
      </c>
    </row>
    <row r="70" spans="2:33" x14ac:dyDescent="0.25">
      <c r="B70" s="20">
        <v>76</v>
      </c>
      <c r="C70" s="56">
        <v>42536.5</v>
      </c>
      <c r="D70" s="57">
        <f>C70*(1+'Rhaniad y Ddeiliadaeth (C&amp;De-o)'!C$109)+(C$44*(-(50-$B70)*('Rhaniad y Ddeiliadaeth (C&amp;De-o)'!C$110/40)))</f>
        <v>44205.259186650161</v>
      </c>
      <c r="E70" s="57">
        <f>D70*(1+'Rhaniad y Ddeiliadaeth (C&amp;De-o)'!D$109)+(D$44*(-(50-$B70)*('Rhaniad y Ddeiliadaeth (C&amp;De-o)'!D$110/40)))</f>
        <v>45511.558613789988</v>
      </c>
      <c r="F70" s="57">
        <f>E70*(1+'Rhaniad y Ddeiliadaeth (C&amp;De-o)'!E$109)+(E$44*(-(50-$B70)*('Rhaniad y Ddeiliadaeth (C&amp;De-o)'!E$110/40)))</f>
        <v>47178.568153636952</v>
      </c>
      <c r="G70" s="57">
        <f>F70*(1+'Rhaniad y Ddeiliadaeth (C&amp;De-o)'!F$109)+(F$44*(-(50-$B70)*('Rhaniad y Ddeiliadaeth (C&amp;De-o)'!F$110/40)))</f>
        <v>49108.029719590762</v>
      </c>
      <c r="H70" s="58">
        <f>G70*(1+'Rhaniad y Ddeiliadaeth (C&amp;De-o)'!G$109)+(G$44*(-(50-$B70)*('Rhaniad y Ddeiliadaeth (C&amp;De-o)'!G$110/40)))</f>
        <v>51163.662834390037</v>
      </c>
      <c r="L70" s="62" t="str">
        <f t="shared" si="4"/>
        <v/>
      </c>
      <c r="M70" s="227"/>
      <c r="N70" s="14">
        <f t="shared" si="7"/>
        <v>1</v>
      </c>
      <c r="T70" s="1">
        <f t="shared" si="5"/>
        <v>76</v>
      </c>
      <c r="U70" s="4" t="str">
        <f t="shared" si="6"/>
        <v/>
      </c>
      <c r="V70" s="4" t="e">
        <f>IF($V$3=$M$3,M70,U70*(1+'Rhaniad y Ddeiliadaeth (C&amp;De-o)'!C$109)+(U$44*(-(50-$T70)*('Rhaniad y Ddeiliadaeth (C&amp;De-o)'!C$110/40))))</f>
        <v>#VALUE!</v>
      </c>
      <c r="W70" s="4" t="e">
        <f>V70*(1+'Rhaniad y Ddeiliadaeth (C&amp;De-o)'!D$109)+(V$44*(-(50-$T70)*('Rhaniad y Ddeiliadaeth (C&amp;De-o)'!D$110/40)))</f>
        <v>#VALUE!</v>
      </c>
      <c r="X70" s="4" t="e">
        <f>W70*(1+'Rhaniad y Ddeiliadaeth (C&amp;De-o)'!E$109)+(W$44*(-(50-$T70)*('Rhaniad y Ddeiliadaeth (C&amp;De-o)'!E$110/40)))</f>
        <v>#VALUE!</v>
      </c>
      <c r="Y70" s="4" t="e">
        <f>X70*(1+'Rhaniad y Ddeiliadaeth (C&amp;De-o)'!F$109)+(X$44*(-(50-$T70)*('Rhaniad y Ddeiliadaeth (C&amp;De-o)'!F$110/40)))</f>
        <v>#VALUE!</v>
      </c>
      <c r="Z70" s="4" t="e">
        <f>Y70*(1+'Rhaniad y Ddeiliadaeth (C&amp;De-o)'!G$109)+(Y$44*(-(50-$T70)*('Rhaniad y Ddeiliadaeth (C&amp;De-o)'!G$110/40)))</f>
        <v>#VALUE!</v>
      </c>
      <c r="AB70" s="1">
        <v>76</v>
      </c>
      <c r="AC70" s="4">
        <f>IF('Rhaniad y Ddeiliadaeth (Cymru)'!$D$8="Amcangyfrifon LlC",'Incwm (Canol. &amp; De-orll)'!D70,'Incwm (Canol. &amp; De-orll)'!V70)</f>
        <v>44205.259186650161</v>
      </c>
      <c r="AD70" s="4">
        <f>IF('Rhaniad y Ddeiliadaeth (Cymru)'!$D$8="Amcangyfrifon LlC",'Incwm (Canol. &amp; De-orll)'!E70,'Incwm (Canol. &amp; De-orll)'!W70)</f>
        <v>45511.558613789988</v>
      </c>
      <c r="AE70" s="4">
        <f>IF('Rhaniad y Ddeiliadaeth (Cymru)'!$D$8="Amcangyfrifon LlC",'Incwm (Canol. &amp; De-orll)'!F70,'Incwm (Canol. &amp; De-orll)'!X70)</f>
        <v>47178.568153636952</v>
      </c>
      <c r="AF70" s="4">
        <f>IF('Rhaniad y Ddeiliadaeth (Cymru)'!$D$8="Amcangyfrifon LlC",'Incwm (Canol. &amp; De-orll)'!G70,'Incwm (Canol. &amp; De-orll)'!Y70)</f>
        <v>49108.029719590762</v>
      </c>
      <c r="AG70" s="4">
        <f>IF('Rhaniad y Ddeiliadaeth (Cymru)'!$D$8="Amcangyfrifon LlC",'Incwm (Canol. &amp; De-orll)'!H70,'Incwm (Canol. &amp; De-orll)'!Z70)</f>
        <v>51163.662834390037</v>
      </c>
    </row>
    <row r="71" spans="2:33" x14ac:dyDescent="0.25">
      <c r="B71" s="20">
        <v>77</v>
      </c>
      <c r="C71" s="56">
        <v>43715</v>
      </c>
      <c r="D71" s="57">
        <f>C71*(1+'Rhaniad y Ddeiliadaeth (C&amp;De-o)'!C$109)+(C$44*(-(50-$B71)*('Rhaniad y Ddeiliadaeth (C&amp;De-o)'!C$110/40)))</f>
        <v>45431.756408541172</v>
      </c>
      <c r="E71" s="57">
        <f>D71*(1+'Rhaniad y Ddeiliadaeth (C&amp;De-o)'!D$109)+(D$44*(-(50-$B71)*('Rhaniad y Ddeiliadaeth (C&amp;De-o)'!D$110/40)))</f>
        <v>46776.11859855635</v>
      </c>
      <c r="F71" s="57">
        <f>E71*(1+'Rhaniad y Ddeiliadaeth (C&amp;De-o)'!E$109)+(E$44*(-(50-$B71)*('Rhaniad y Ddeiliadaeth (C&amp;De-o)'!E$110/40)))</f>
        <v>48491.305412534428</v>
      </c>
      <c r="G71" s="57">
        <f>F71*(1+'Rhaniad y Ddeiliadaeth (C&amp;De-o)'!F$109)+(F$44*(-(50-$B71)*('Rhaniad y Ddeiliadaeth (C&amp;De-o)'!F$110/40)))</f>
        <v>50476.366502898643</v>
      </c>
      <c r="H71" s="58">
        <f>G71*(1+'Rhaniad y Ddeiliadaeth (C&amp;De-o)'!G$109)+(G$44*(-(50-$B71)*('Rhaniad y Ddeiliadaeth (C&amp;De-o)'!G$110/40)))</f>
        <v>52591.25357039235</v>
      </c>
      <c r="L71" s="62" t="str">
        <f t="shared" si="4"/>
        <v/>
      </c>
      <c r="M71" s="227"/>
      <c r="N71" s="14">
        <f t="shared" si="7"/>
        <v>1</v>
      </c>
      <c r="T71" s="1">
        <f t="shared" si="5"/>
        <v>77</v>
      </c>
      <c r="U71" s="4" t="str">
        <f t="shared" si="6"/>
        <v/>
      </c>
      <c r="V71" s="4" t="e">
        <f>IF($V$3=$M$3,M71,U71*(1+'Rhaniad y Ddeiliadaeth (C&amp;De-o)'!C$109)+(U$44*(-(50-$T71)*('Rhaniad y Ddeiliadaeth (C&amp;De-o)'!C$110/40))))</f>
        <v>#VALUE!</v>
      </c>
      <c r="W71" s="4" t="e">
        <f>V71*(1+'Rhaniad y Ddeiliadaeth (C&amp;De-o)'!D$109)+(V$44*(-(50-$T71)*('Rhaniad y Ddeiliadaeth (C&amp;De-o)'!D$110/40)))</f>
        <v>#VALUE!</v>
      </c>
      <c r="X71" s="4" t="e">
        <f>W71*(1+'Rhaniad y Ddeiliadaeth (C&amp;De-o)'!E$109)+(W$44*(-(50-$T71)*('Rhaniad y Ddeiliadaeth (C&amp;De-o)'!E$110/40)))</f>
        <v>#VALUE!</v>
      </c>
      <c r="Y71" s="4" t="e">
        <f>X71*(1+'Rhaniad y Ddeiliadaeth (C&amp;De-o)'!F$109)+(X$44*(-(50-$T71)*('Rhaniad y Ddeiliadaeth (C&amp;De-o)'!F$110/40)))</f>
        <v>#VALUE!</v>
      </c>
      <c r="Z71" s="4" t="e">
        <f>Y71*(1+'Rhaniad y Ddeiliadaeth (C&amp;De-o)'!G$109)+(Y$44*(-(50-$T71)*('Rhaniad y Ddeiliadaeth (C&amp;De-o)'!G$110/40)))</f>
        <v>#VALUE!</v>
      </c>
      <c r="AB71" s="1">
        <v>77</v>
      </c>
      <c r="AC71" s="4">
        <f>IF('Rhaniad y Ddeiliadaeth (Cymru)'!$D$8="Amcangyfrifon LlC",'Incwm (Canol. &amp; De-orll)'!D71,'Incwm (Canol. &amp; De-orll)'!V71)</f>
        <v>45431.756408541172</v>
      </c>
      <c r="AD71" s="4">
        <f>IF('Rhaniad y Ddeiliadaeth (Cymru)'!$D$8="Amcangyfrifon LlC",'Incwm (Canol. &amp; De-orll)'!E71,'Incwm (Canol. &amp; De-orll)'!W71)</f>
        <v>46776.11859855635</v>
      </c>
      <c r="AE71" s="4">
        <f>IF('Rhaniad y Ddeiliadaeth (Cymru)'!$D$8="Amcangyfrifon LlC",'Incwm (Canol. &amp; De-orll)'!F71,'Incwm (Canol. &amp; De-orll)'!X71)</f>
        <v>48491.305412534428</v>
      </c>
      <c r="AF71" s="4">
        <f>IF('Rhaniad y Ddeiliadaeth (Cymru)'!$D$8="Amcangyfrifon LlC",'Incwm (Canol. &amp; De-orll)'!G71,'Incwm (Canol. &amp; De-orll)'!Y71)</f>
        <v>50476.366502898643</v>
      </c>
      <c r="AG71" s="4">
        <f>IF('Rhaniad y Ddeiliadaeth (Cymru)'!$D$8="Amcangyfrifon LlC",'Incwm (Canol. &amp; De-orll)'!H71,'Incwm (Canol. &amp; De-orll)'!Z71)</f>
        <v>52591.25357039235</v>
      </c>
    </row>
    <row r="72" spans="2:33" x14ac:dyDescent="0.25">
      <c r="B72" s="20">
        <v>78</v>
      </c>
      <c r="C72" s="56">
        <v>45238</v>
      </c>
      <c r="D72" s="57">
        <f>C72*(1+'Rhaniad y Ddeiliadaeth (C&amp;De-o)'!C$109)+(C$44*(-(50-$B72)*('Rhaniad y Ddeiliadaeth (C&amp;De-o)'!C$110/40)))</f>
        <v>47014.941131867454</v>
      </c>
      <c r="E72" s="57">
        <f>D72*(1+'Rhaniad y Ddeiliadaeth (C&amp;De-o)'!D$109)+(D$44*(-(50-$B72)*('Rhaniad y Ddeiliadaeth (C&amp;De-o)'!D$110/40)))</f>
        <v>48406.536946476706</v>
      </c>
      <c r="F72" s="57">
        <f>E72*(1+'Rhaniad y Ddeiliadaeth (C&amp;De-o)'!E$109)+(E$44*(-(50-$B72)*('Rhaniad y Ddeiliadaeth (C&amp;De-o)'!E$110/40)))</f>
        <v>50181.902290698279</v>
      </c>
      <c r="G72" s="57">
        <f>F72*(1+'Rhaniad y Ddeiliadaeth (C&amp;De-o)'!F$109)+(F$44*(-(50-$B72)*('Rhaniad y Ddeiliadaeth (C&amp;De-o)'!F$110/40)))</f>
        <v>52236.576151601861</v>
      </c>
      <c r="H72" s="58">
        <f>G72*(1+'Rhaniad y Ddeiliadaeth (C&amp;De-o)'!G$109)+(G$44*(-(50-$B72)*('Rhaniad y Ddeiliadaeth (C&amp;De-o)'!G$110/40)))</f>
        <v>54425.632724205985</v>
      </c>
      <c r="L72" s="62" t="str">
        <f t="shared" si="4"/>
        <v/>
      </c>
      <c r="M72" s="227"/>
      <c r="N72" s="14">
        <f t="shared" si="7"/>
        <v>1</v>
      </c>
      <c r="T72" s="1">
        <f t="shared" si="5"/>
        <v>78</v>
      </c>
      <c r="U72" s="4" t="str">
        <f t="shared" si="6"/>
        <v/>
      </c>
      <c r="V72" s="4" t="e">
        <f>IF($V$3=$M$3,M72,U72*(1+'Rhaniad y Ddeiliadaeth (C&amp;De-o)'!C$109)+(U$44*(-(50-$T72)*('Rhaniad y Ddeiliadaeth (C&amp;De-o)'!C$110/40))))</f>
        <v>#VALUE!</v>
      </c>
      <c r="W72" s="4" t="e">
        <f>V72*(1+'Rhaniad y Ddeiliadaeth (C&amp;De-o)'!D$109)+(V$44*(-(50-$T72)*('Rhaniad y Ddeiliadaeth (C&amp;De-o)'!D$110/40)))</f>
        <v>#VALUE!</v>
      </c>
      <c r="X72" s="4" t="e">
        <f>W72*(1+'Rhaniad y Ddeiliadaeth (C&amp;De-o)'!E$109)+(W$44*(-(50-$T72)*('Rhaniad y Ddeiliadaeth (C&amp;De-o)'!E$110/40)))</f>
        <v>#VALUE!</v>
      </c>
      <c r="Y72" s="4" t="e">
        <f>X72*(1+'Rhaniad y Ddeiliadaeth (C&amp;De-o)'!F$109)+(X$44*(-(50-$T72)*('Rhaniad y Ddeiliadaeth (C&amp;De-o)'!F$110/40)))</f>
        <v>#VALUE!</v>
      </c>
      <c r="Z72" s="4" t="e">
        <f>Y72*(1+'Rhaniad y Ddeiliadaeth (C&amp;De-o)'!G$109)+(Y$44*(-(50-$T72)*('Rhaniad y Ddeiliadaeth (C&amp;De-o)'!G$110/40)))</f>
        <v>#VALUE!</v>
      </c>
      <c r="AB72" s="1">
        <v>78</v>
      </c>
      <c r="AC72" s="4">
        <f>IF('Rhaniad y Ddeiliadaeth (Cymru)'!$D$8="Amcangyfrifon LlC",'Incwm (Canol. &amp; De-orll)'!D72,'Incwm (Canol. &amp; De-orll)'!V72)</f>
        <v>47014.941131867454</v>
      </c>
      <c r="AD72" s="4">
        <f>IF('Rhaniad y Ddeiliadaeth (Cymru)'!$D$8="Amcangyfrifon LlC",'Incwm (Canol. &amp; De-orll)'!E72,'Incwm (Canol. &amp; De-orll)'!W72)</f>
        <v>48406.536946476706</v>
      </c>
      <c r="AE72" s="4">
        <f>IF('Rhaniad y Ddeiliadaeth (Cymru)'!$D$8="Amcangyfrifon LlC",'Incwm (Canol. &amp; De-orll)'!F72,'Incwm (Canol. &amp; De-orll)'!X72)</f>
        <v>50181.902290698279</v>
      </c>
      <c r="AF72" s="4">
        <f>IF('Rhaniad y Ddeiliadaeth (Cymru)'!$D$8="Amcangyfrifon LlC",'Incwm (Canol. &amp; De-orll)'!G72,'Incwm (Canol. &amp; De-orll)'!Y72)</f>
        <v>52236.576151601861</v>
      </c>
      <c r="AG72" s="4">
        <f>IF('Rhaniad y Ddeiliadaeth (Cymru)'!$D$8="Amcangyfrifon LlC",'Incwm (Canol. &amp; De-orll)'!H72,'Incwm (Canol. &amp; De-orll)'!Z72)</f>
        <v>54425.632724205985</v>
      </c>
    </row>
    <row r="73" spans="2:33" x14ac:dyDescent="0.25">
      <c r="B73" s="20">
        <v>79</v>
      </c>
      <c r="C73" s="56">
        <v>46270.1</v>
      </c>
      <c r="D73" s="57">
        <f>C73*(1+'Rhaniad y Ddeiliadaeth (C&amp;De-o)'!C$109)+(C$44*(-(50-$B73)*('Rhaniad y Ddeiliadaeth (C&amp;De-o)'!C$110/40)))</f>
        <v>48089.859107865515</v>
      </c>
      <c r="E73" s="57">
        <f>D73*(1+'Rhaniad y Ddeiliadaeth (C&amp;De-o)'!D$109)+(D$44*(-(50-$B73)*('Rhaniad y Ddeiliadaeth (C&amp;De-o)'!D$110/40)))</f>
        <v>49515.620401879503</v>
      </c>
      <c r="F73" s="57">
        <f>E73*(1+'Rhaniad y Ddeiliadaeth (C&amp;De-o)'!E$109)+(E$44*(-(50-$B73)*('Rhaniad y Ddeiliadaeth (C&amp;De-o)'!E$110/40)))</f>
        <v>51334.062921843644</v>
      </c>
      <c r="G73" s="57">
        <f>F73*(1+'Rhaniad y Ddeiliadaeth (C&amp;De-o)'!F$109)+(F$44*(-(50-$B73)*('Rhaniad y Ddeiliadaeth (C&amp;De-o)'!F$110/40)))</f>
        <v>53438.38118601602</v>
      </c>
      <c r="H73" s="58">
        <f>G73*(1+'Rhaniad y Ddeiliadaeth (C&amp;De-o)'!G$109)+(G$44*(-(50-$B73)*('Rhaniad y Ddeiliadaeth (C&amp;De-o)'!G$110/40)))</f>
        <v>55680.353142740714</v>
      </c>
      <c r="L73" s="62" t="str">
        <f t="shared" si="4"/>
        <v/>
      </c>
      <c r="M73" s="227"/>
      <c r="N73" s="14">
        <f t="shared" si="7"/>
        <v>1</v>
      </c>
      <c r="T73" s="1">
        <f t="shared" si="5"/>
        <v>79</v>
      </c>
      <c r="U73" s="4" t="str">
        <f t="shared" si="6"/>
        <v/>
      </c>
      <c r="V73" s="4" t="e">
        <f>IF($V$3=$M$3,M73,U73*(1+'Rhaniad y Ddeiliadaeth (C&amp;De-o)'!C$109)+(U$44*(-(50-$T73)*('Rhaniad y Ddeiliadaeth (C&amp;De-o)'!C$110/40))))</f>
        <v>#VALUE!</v>
      </c>
      <c r="W73" s="4" t="e">
        <f>V73*(1+'Rhaniad y Ddeiliadaeth (C&amp;De-o)'!D$109)+(V$44*(-(50-$T73)*('Rhaniad y Ddeiliadaeth (C&amp;De-o)'!D$110/40)))</f>
        <v>#VALUE!</v>
      </c>
      <c r="X73" s="4" t="e">
        <f>W73*(1+'Rhaniad y Ddeiliadaeth (C&amp;De-o)'!E$109)+(W$44*(-(50-$T73)*('Rhaniad y Ddeiliadaeth (C&amp;De-o)'!E$110/40)))</f>
        <v>#VALUE!</v>
      </c>
      <c r="Y73" s="4" t="e">
        <f>X73*(1+'Rhaniad y Ddeiliadaeth (C&amp;De-o)'!F$109)+(X$44*(-(50-$T73)*('Rhaniad y Ddeiliadaeth (C&amp;De-o)'!F$110/40)))</f>
        <v>#VALUE!</v>
      </c>
      <c r="Z73" s="4" t="e">
        <f>Y73*(1+'Rhaniad y Ddeiliadaeth (C&amp;De-o)'!G$109)+(Y$44*(-(50-$T73)*('Rhaniad y Ddeiliadaeth (C&amp;De-o)'!G$110/40)))</f>
        <v>#VALUE!</v>
      </c>
      <c r="AB73" s="1">
        <v>79</v>
      </c>
      <c r="AC73" s="4">
        <f>IF('Rhaniad y Ddeiliadaeth (Cymru)'!$D$8="Amcangyfrifon LlC",'Incwm (Canol. &amp; De-orll)'!D73,'Incwm (Canol. &amp; De-orll)'!V73)</f>
        <v>48089.859107865515</v>
      </c>
      <c r="AD73" s="4">
        <f>IF('Rhaniad y Ddeiliadaeth (Cymru)'!$D$8="Amcangyfrifon LlC",'Incwm (Canol. &amp; De-orll)'!E73,'Incwm (Canol. &amp; De-orll)'!W73)</f>
        <v>49515.620401879503</v>
      </c>
      <c r="AE73" s="4">
        <f>IF('Rhaniad y Ddeiliadaeth (Cymru)'!$D$8="Amcangyfrifon LlC",'Incwm (Canol. &amp; De-orll)'!F73,'Incwm (Canol. &amp; De-orll)'!X73)</f>
        <v>51334.062921843644</v>
      </c>
      <c r="AF73" s="4">
        <f>IF('Rhaniad y Ddeiliadaeth (Cymru)'!$D$8="Amcangyfrifon LlC",'Incwm (Canol. &amp; De-orll)'!G73,'Incwm (Canol. &amp; De-orll)'!Y73)</f>
        <v>53438.38118601602</v>
      </c>
      <c r="AG73" s="4">
        <f>IF('Rhaniad y Ddeiliadaeth (Cymru)'!$D$8="Amcangyfrifon LlC",'Incwm (Canol. &amp; De-orll)'!H73,'Incwm (Canol. &amp; De-orll)'!Z73)</f>
        <v>55680.353142740714</v>
      </c>
    </row>
    <row r="74" spans="2:33" x14ac:dyDescent="0.25">
      <c r="B74" s="20">
        <v>80</v>
      </c>
      <c r="C74" s="56">
        <v>47780.15</v>
      </c>
      <c r="D74" s="57">
        <f>C74*(1+'Rhaniad y Ddeiliadaeth (C&amp;De-o)'!C$109)+(C$44*(-(50-$B74)*('Rhaniad y Ddeiliadaeth (C&amp;De-o)'!C$110/40)))</f>
        <v>49659.635694345387</v>
      </c>
      <c r="E74" s="57">
        <f>D74*(1+'Rhaniad y Ddeiliadaeth (C&amp;De-o)'!D$109)+(D$44*(-(50-$B74)*('Rhaniad y Ddeiliadaeth (C&amp;De-o)'!D$110/40)))</f>
        <v>51132.285873739362</v>
      </c>
      <c r="F74" s="57">
        <f>E74*(1+'Rhaniad y Ddeiliadaeth (C&amp;De-o)'!E$109)+(E$44*(-(50-$B74)*('Rhaniad y Ddeiliadaeth (C&amp;De-o)'!E$110/40)))</f>
        <v>53010.45578819474</v>
      </c>
      <c r="G74" s="57">
        <f>F74*(1+'Rhaniad y Ddeiliadaeth (C&amp;De-o)'!F$109)+(F$44*(-(50-$B74)*('Rhaniad y Ddeiliadaeth (C&amp;De-o)'!F$110/40)))</f>
        <v>55183.860055018624</v>
      </c>
      <c r="H74" s="58">
        <f>G74*(1+'Rhaniad y Ddeiliadaeth (C&amp;De-o)'!G$109)+(G$44*(-(50-$B74)*('Rhaniad y Ddeiliadaeth (C&amp;De-o)'!G$110/40)))</f>
        <v>57499.44083063084</v>
      </c>
      <c r="L74" s="62" t="str">
        <f t="shared" si="4"/>
        <v/>
      </c>
      <c r="M74" s="227"/>
      <c r="N74" s="14">
        <f t="shared" si="7"/>
        <v>1</v>
      </c>
      <c r="T74" s="1">
        <f t="shared" si="5"/>
        <v>80</v>
      </c>
      <c r="U74" s="4" t="str">
        <f t="shared" si="6"/>
        <v/>
      </c>
      <c r="V74" s="4" t="e">
        <f>IF($V$3=$M$3,M74,U74*(1+'Rhaniad y Ddeiliadaeth (C&amp;De-o)'!C$109)+(U$44*(-(50-$T74)*('Rhaniad y Ddeiliadaeth (C&amp;De-o)'!C$110/40))))</f>
        <v>#VALUE!</v>
      </c>
      <c r="W74" s="4" t="e">
        <f>V74*(1+'Rhaniad y Ddeiliadaeth (C&amp;De-o)'!D$109)+(V$44*(-(50-$T74)*('Rhaniad y Ddeiliadaeth (C&amp;De-o)'!D$110/40)))</f>
        <v>#VALUE!</v>
      </c>
      <c r="X74" s="4" t="e">
        <f>W74*(1+'Rhaniad y Ddeiliadaeth (C&amp;De-o)'!E$109)+(W$44*(-(50-$T74)*('Rhaniad y Ddeiliadaeth (C&amp;De-o)'!E$110/40)))</f>
        <v>#VALUE!</v>
      </c>
      <c r="Y74" s="4" t="e">
        <f>X74*(1+'Rhaniad y Ddeiliadaeth (C&amp;De-o)'!F$109)+(X$44*(-(50-$T74)*('Rhaniad y Ddeiliadaeth (C&amp;De-o)'!F$110/40)))</f>
        <v>#VALUE!</v>
      </c>
      <c r="Z74" s="4" t="e">
        <f>Y74*(1+'Rhaniad y Ddeiliadaeth (C&amp;De-o)'!G$109)+(Y$44*(-(50-$T74)*('Rhaniad y Ddeiliadaeth (C&amp;De-o)'!G$110/40)))</f>
        <v>#VALUE!</v>
      </c>
      <c r="AB74" s="1">
        <v>80</v>
      </c>
      <c r="AC74" s="4">
        <f>IF('Rhaniad y Ddeiliadaeth (Cymru)'!$D$8="Amcangyfrifon LlC",'Incwm (Canol. &amp; De-orll)'!D74,'Incwm (Canol. &amp; De-orll)'!V74)</f>
        <v>49659.635694345387</v>
      </c>
      <c r="AD74" s="4">
        <f>IF('Rhaniad y Ddeiliadaeth (Cymru)'!$D$8="Amcangyfrifon LlC",'Incwm (Canol. &amp; De-orll)'!E74,'Incwm (Canol. &amp; De-orll)'!W74)</f>
        <v>51132.285873739362</v>
      </c>
      <c r="AE74" s="4">
        <f>IF('Rhaniad y Ddeiliadaeth (Cymru)'!$D$8="Amcangyfrifon LlC",'Incwm (Canol. &amp; De-orll)'!F74,'Incwm (Canol. &amp; De-orll)'!X74)</f>
        <v>53010.45578819474</v>
      </c>
      <c r="AF74" s="4">
        <f>IF('Rhaniad y Ddeiliadaeth (Cymru)'!$D$8="Amcangyfrifon LlC",'Incwm (Canol. &amp; De-orll)'!G74,'Incwm (Canol. &amp; De-orll)'!Y74)</f>
        <v>55183.860055018624</v>
      </c>
      <c r="AG74" s="4">
        <f>IF('Rhaniad y Ddeiliadaeth (Cymru)'!$D$8="Amcangyfrifon LlC",'Incwm (Canol. &amp; De-orll)'!H74,'Incwm (Canol. &amp; De-orll)'!Z74)</f>
        <v>57499.44083063084</v>
      </c>
    </row>
    <row r="75" spans="2:33" x14ac:dyDescent="0.25">
      <c r="B75" s="20">
        <v>81</v>
      </c>
      <c r="C75" s="56">
        <v>48695</v>
      </c>
      <c r="D75" s="57">
        <f>C75*(1+'Rhaniad y Ddeiliadaeth (C&amp;De-o)'!C$109)+(C$44*(-(50-$B75)*('Rhaniad y Ddeiliadaeth (C&amp;De-o)'!C$110/40)))</f>
        <v>50613.155674571943</v>
      </c>
      <c r="E75" s="57">
        <f>D75*(1+'Rhaniad y Ddeiliadaeth (C&amp;De-o)'!D$109)+(D$44*(-(50-$B75)*('Rhaniad y Ddeiliadaeth (C&amp;De-o)'!D$110/40)))</f>
        <v>52116.850045891631</v>
      </c>
      <c r="F75" s="57">
        <f>E75*(1+'Rhaniad y Ddeiliadaeth (C&amp;De-o)'!E$109)+(E$44*(-(50-$B75)*('Rhaniad y Ddeiliadaeth (C&amp;De-o)'!E$110/40)))</f>
        <v>54034.012528602849</v>
      </c>
      <c r="G75" s="57">
        <f>F75*(1+'Rhaniad y Ddeiliadaeth (C&amp;De-o)'!F$109)+(F$44*(-(50-$B75)*('Rhaniad y Ddeiliadaeth (C&amp;De-o)'!F$110/40)))</f>
        <v>56252.291813764845</v>
      </c>
      <c r="H75" s="58">
        <f>G75*(1+'Rhaniad y Ddeiliadaeth (C&amp;De-o)'!G$109)+(G$44*(-(50-$B75)*('Rhaniad y Ddeiliadaeth (C&amp;De-o)'!G$110/40)))</f>
        <v>58615.711490128182</v>
      </c>
      <c r="L75" s="62" t="str">
        <f t="shared" si="4"/>
        <v/>
      </c>
      <c r="M75" s="227"/>
      <c r="N75" s="14">
        <f t="shared" si="7"/>
        <v>1</v>
      </c>
      <c r="T75" s="1">
        <f t="shared" si="5"/>
        <v>81</v>
      </c>
      <c r="U75" s="4" t="str">
        <f t="shared" si="6"/>
        <v/>
      </c>
      <c r="V75" s="4" t="e">
        <f>IF($V$3=$M$3,M75,U75*(1+'Rhaniad y Ddeiliadaeth (C&amp;De-o)'!C$109)+(U$44*(-(50-$T75)*('Rhaniad y Ddeiliadaeth (C&amp;De-o)'!C$110/40))))</f>
        <v>#VALUE!</v>
      </c>
      <c r="W75" s="4" t="e">
        <f>V75*(1+'Rhaniad y Ddeiliadaeth (C&amp;De-o)'!D$109)+(V$44*(-(50-$T75)*('Rhaniad y Ddeiliadaeth (C&amp;De-o)'!D$110/40)))</f>
        <v>#VALUE!</v>
      </c>
      <c r="X75" s="4" t="e">
        <f>W75*(1+'Rhaniad y Ddeiliadaeth (C&amp;De-o)'!E$109)+(W$44*(-(50-$T75)*('Rhaniad y Ddeiliadaeth (C&amp;De-o)'!E$110/40)))</f>
        <v>#VALUE!</v>
      </c>
      <c r="Y75" s="4" t="e">
        <f>X75*(1+'Rhaniad y Ddeiliadaeth (C&amp;De-o)'!F$109)+(X$44*(-(50-$T75)*('Rhaniad y Ddeiliadaeth (C&amp;De-o)'!F$110/40)))</f>
        <v>#VALUE!</v>
      </c>
      <c r="Z75" s="4" t="e">
        <f>Y75*(1+'Rhaniad y Ddeiliadaeth (C&amp;De-o)'!G$109)+(Y$44*(-(50-$T75)*('Rhaniad y Ddeiliadaeth (C&amp;De-o)'!G$110/40)))</f>
        <v>#VALUE!</v>
      </c>
      <c r="AB75" s="1">
        <v>81</v>
      </c>
      <c r="AC75" s="4">
        <f>IF('Rhaniad y Ddeiliadaeth (Cymru)'!$D$8="Amcangyfrifon LlC",'Incwm (Canol. &amp; De-orll)'!D75,'Incwm (Canol. &amp; De-orll)'!V75)</f>
        <v>50613.155674571943</v>
      </c>
      <c r="AD75" s="4">
        <f>IF('Rhaniad y Ddeiliadaeth (Cymru)'!$D$8="Amcangyfrifon LlC",'Incwm (Canol. &amp; De-orll)'!E75,'Incwm (Canol. &amp; De-orll)'!W75)</f>
        <v>52116.850045891631</v>
      </c>
      <c r="AE75" s="4">
        <f>IF('Rhaniad y Ddeiliadaeth (Cymru)'!$D$8="Amcangyfrifon LlC",'Incwm (Canol. &amp; De-orll)'!F75,'Incwm (Canol. &amp; De-orll)'!X75)</f>
        <v>54034.012528602849</v>
      </c>
      <c r="AF75" s="4">
        <f>IF('Rhaniad y Ddeiliadaeth (Cymru)'!$D$8="Amcangyfrifon LlC",'Incwm (Canol. &amp; De-orll)'!G75,'Incwm (Canol. &amp; De-orll)'!Y75)</f>
        <v>56252.291813764845</v>
      </c>
      <c r="AG75" s="4">
        <f>IF('Rhaniad y Ddeiliadaeth (Cymru)'!$D$8="Amcangyfrifon LlC",'Incwm (Canol. &amp; De-orll)'!H75,'Incwm (Canol. &amp; De-orll)'!Z75)</f>
        <v>58615.711490128182</v>
      </c>
    </row>
    <row r="76" spans="2:33" x14ac:dyDescent="0.25">
      <c r="B76" s="20">
        <v>82</v>
      </c>
      <c r="C76" s="56">
        <v>50530</v>
      </c>
      <c r="D76" s="57">
        <f>C76*(1+'Rhaniad y Ddeiliadaeth (C&amp;De-o)'!C$109)+(C$44*(-(50-$B76)*('Rhaniad y Ddeiliadaeth (C&amp;De-o)'!C$110/40)))</f>
        <v>52519.37813504714</v>
      </c>
      <c r="E76" s="57">
        <f>D76*(1+'Rhaniad y Ddeiliadaeth (C&amp;De-o)'!D$109)+(D$44*(-(50-$B76)*('Rhaniad y Ddeiliadaeth (C&amp;De-o)'!D$110/40)))</f>
        <v>54078.611817045799</v>
      </c>
      <c r="F76" s="57">
        <f>E76*(1+'Rhaniad y Ddeiliadaeth (C&amp;De-o)'!E$109)+(E$44*(-(50-$B76)*('Rhaniad y Ddeiliadaeth (C&amp;De-o)'!E$110/40)))</f>
        <v>56066.821892140033</v>
      </c>
      <c r="G76" s="57">
        <f>F76*(1+'Rhaniad y Ddeiliadaeth (C&amp;De-o)'!F$109)+(F$44*(-(50-$B76)*('Rhaniad y Ddeiliadaeth (C&amp;De-o)'!F$110/40)))</f>
        <v>58367.405189618577</v>
      </c>
      <c r="H76" s="58">
        <f>G76*(1+'Rhaniad y Ddeiliadaeth (C&amp;De-o)'!G$109)+(G$44*(-(50-$B76)*('Rhaniad y Ddeiliadaeth (C&amp;De-o)'!G$110/40)))</f>
        <v>60818.502795921886</v>
      </c>
      <c r="L76" s="62" t="str">
        <f t="shared" si="4"/>
        <v/>
      </c>
      <c r="M76" s="227"/>
      <c r="N76" s="14">
        <f t="shared" si="7"/>
        <v>1</v>
      </c>
      <c r="T76" s="1">
        <f t="shared" si="5"/>
        <v>82</v>
      </c>
      <c r="U76" s="4" t="str">
        <f t="shared" si="6"/>
        <v/>
      </c>
      <c r="V76" s="4" t="e">
        <f>IF($V$3=$M$3,M76,U76*(1+'Rhaniad y Ddeiliadaeth (C&amp;De-o)'!C$109)+(U$44*(-(50-$T76)*('Rhaniad y Ddeiliadaeth (C&amp;De-o)'!C$110/40))))</f>
        <v>#VALUE!</v>
      </c>
      <c r="W76" s="4" t="e">
        <f>V76*(1+'Rhaniad y Ddeiliadaeth (C&amp;De-o)'!D$109)+(V$44*(-(50-$T76)*('Rhaniad y Ddeiliadaeth (C&amp;De-o)'!D$110/40)))</f>
        <v>#VALUE!</v>
      </c>
      <c r="X76" s="4" t="e">
        <f>W76*(1+'Rhaniad y Ddeiliadaeth (C&amp;De-o)'!E$109)+(W$44*(-(50-$T76)*('Rhaniad y Ddeiliadaeth (C&amp;De-o)'!E$110/40)))</f>
        <v>#VALUE!</v>
      </c>
      <c r="Y76" s="4" t="e">
        <f>X76*(1+'Rhaniad y Ddeiliadaeth (C&amp;De-o)'!F$109)+(X$44*(-(50-$T76)*('Rhaniad y Ddeiliadaeth (C&amp;De-o)'!F$110/40)))</f>
        <v>#VALUE!</v>
      </c>
      <c r="Z76" s="4" t="e">
        <f>Y76*(1+'Rhaniad y Ddeiliadaeth (C&amp;De-o)'!G$109)+(Y$44*(-(50-$T76)*('Rhaniad y Ddeiliadaeth (C&amp;De-o)'!G$110/40)))</f>
        <v>#VALUE!</v>
      </c>
      <c r="AB76" s="1">
        <v>82</v>
      </c>
      <c r="AC76" s="4">
        <f>IF('Rhaniad y Ddeiliadaeth (Cymru)'!$D$8="Amcangyfrifon LlC",'Incwm (Canol. &amp; De-orll)'!D76,'Incwm (Canol. &amp; De-orll)'!V76)</f>
        <v>52519.37813504714</v>
      </c>
      <c r="AD76" s="4">
        <f>IF('Rhaniad y Ddeiliadaeth (Cymru)'!$D$8="Amcangyfrifon LlC",'Incwm (Canol. &amp; De-orll)'!E76,'Incwm (Canol. &amp; De-orll)'!W76)</f>
        <v>54078.611817045799</v>
      </c>
      <c r="AE76" s="4">
        <f>IF('Rhaniad y Ddeiliadaeth (Cymru)'!$D$8="Amcangyfrifon LlC",'Incwm (Canol. &amp; De-orll)'!F76,'Incwm (Canol. &amp; De-orll)'!X76)</f>
        <v>56066.821892140033</v>
      </c>
      <c r="AF76" s="4">
        <f>IF('Rhaniad y Ddeiliadaeth (Cymru)'!$D$8="Amcangyfrifon LlC",'Incwm (Canol. &amp; De-orll)'!G76,'Incwm (Canol. &amp; De-orll)'!Y76)</f>
        <v>58367.405189618577</v>
      </c>
      <c r="AG76" s="4">
        <f>IF('Rhaniad y Ddeiliadaeth (Cymru)'!$D$8="Amcangyfrifon LlC",'Incwm (Canol. &amp; De-orll)'!H76,'Incwm (Canol. &amp; De-orll)'!Z76)</f>
        <v>60818.502795921886</v>
      </c>
    </row>
    <row r="77" spans="2:33" x14ac:dyDescent="0.25">
      <c r="B77" s="20">
        <v>83</v>
      </c>
      <c r="C77" s="56">
        <v>51803</v>
      </c>
      <c r="D77" s="57">
        <f>C77*(1+'Rhaniad y Ddeiliadaeth (C&amp;De-o)'!C$109)+(C$44*(-(50-$B77)*('Rhaniad y Ddeiliadaeth (C&amp;De-o)'!C$110/40)))</f>
        <v>53843.718517709218</v>
      </c>
      <c r="E77" s="57">
        <f>D77*(1+'Rhaniad y Ddeiliadaeth (C&amp;De-o)'!D$109)+(D$44*(-(50-$B77)*('Rhaniad y Ddeiliadaeth (C&amp;De-o)'!D$110/40)))</f>
        <v>55443.530627118555</v>
      </c>
      <c r="F77" s="57">
        <f>E77*(1+'Rhaniad y Ddeiliadaeth (C&amp;De-o)'!E$109)+(E$44*(-(50-$B77)*('Rhaniad y Ddeiliadaeth (C&amp;De-o)'!E$110/40)))</f>
        <v>57483.210048049616</v>
      </c>
      <c r="G77" s="57">
        <f>F77*(1+'Rhaniad y Ddeiliadaeth (C&amp;De-o)'!F$109)+(F$44*(-(50-$B77)*('Rhaniad y Ddeiliadaeth (C&amp;De-o)'!F$110/40)))</f>
        <v>59843.236851822992</v>
      </c>
      <c r="H77" s="58">
        <f>G77*(1+'Rhaniad y Ddeiliadaeth (C&amp;De-o)'!G$109)+(G$44*(-(50-$B77)*('Rhaniad y Ddeiliadaeth (C&amp;De-o)'!G$110/40)))</f>
        <v>62357.679904879697</v>
      </c>
      <c r="L77" s="62" t="str">
        <f t="shared" si="4"/>
        <v/>
      </c>
      <c r="M77" s="227"/>
      <c r="N77" s="14">
        <f t="shared" si="7"/>
        <v>1</v>
      </c>
      <c r="T77" s="1">
        <f t="shared" si="5"/>
        <v>83</v>
      </c>
      <c r="U77" s="4" t="str">
        <f t="shared" si="6"/>
        <v/>
      </c>
      <c r="V77" s="4" t="e">
        <f>IF($V$3=$M$3,M77,U77*(1+'Rhaniad y Ddeiliadaeth (C&amp;De-o)'!C$109)+(U$44*(-(50-$T77)*('Rhaniad y Ddeiliadaeth (C&amp;De-o)'!C$110/40))))</f>
        <v>#VALUE!</v>
      </c>
      <c r="W77" s="4" t="e">
        <f>V77*(1+'Rhaniad y Ddeiliadaeth (C&amp;De-o)'!D$109)+(V$44*(-(50-$T77)*('Rhaniad y Ddeiliadaeth (C&amp;De-o)'!D$110/40)))</f>
        <v>#VALUE!</v>
      </c>
      <c r="X77" s="4" t="e">
        <f>W77*(1+'Rhaniad y Ddeiliadaeth (C&amp;De-o)'!E$109)+(W$44*(-(50-$T77)*('Rhaniad y Ddeiliadaeth (C&amp;De-o)'!E$110/40)))</f>
        <v>#VALUE!</v>
      </c>
      <c r="Y77" s="4" t="e">
        <f>X77*(1+'Rhaniad y Ddeiliadaeth (C&amp;De-o)'!F$109)+(X$44*(-(50-$T77)*('Rhaniad y Ddeiliadaeth (C&amp;De-o)'!F$110/40)))</f>
        <v>#VALUE!</v>
      </c>
      <c r="Z77" s="4" t="e">
        <f>Y77*(1+'Rhaniad y Ddeiliadaeth (C&amp;De-o)'!G$109)+(Y$44*(-(50-$T77)*('Rhaniad y Ddeiliadaeth (C&amp;De-o)'!G$110/40)))</f>
        <v>#VALUE!</v>
      </c>
      <c r="AB77" s="1">
        <v>83</v>
      </c>
      <c r="AC77" s="4">
        <f>IF('Rhaniad y Ddeiliadaeth (Cymru)'!$D$8="Amcangyfrifon LlC",'Incwm (Canol. &amp; De-orll)'!D77,'Incwm (Canol. &amp; De-orll)'!V77)</f>
        <v>53843.718517709218</v>
      </c>
      <c r="AD77" s="4">
        <f>IF('Rhaniad y Ddeiliadaeth (Cymru)'!$D$8="Amcangyfrifon LlC",'Incwm (Canol. &amp; De-orll)'!E77,'Incwm (Canol. &amp; De-orll)'!W77)</f>
        <v>55443.530627118555</v>
      </c>
      <c r="AE77" s="4">
        <f>IF('Rhaniad y Ddeiliadaeth (Cymru)'!$D$8="Amcangyfrifon LlC",'Incwm (Canol. &amp; De-orll)'!F77,'Incwm (Canol. &amp; De-orll)'!X77)</f>
        <v>57483.210048049616</v>
      </c>
      <c r="AF77" s="4">
        <f>IF('Rhaniad y Ddeiliadaeth (Cymru)'!$D$8="Amcangyfrifon LlC",'Incwm (Canol. &amp; De-orll)'!G77,'Incwm (Canol. &amp; De-orll)'!Y77)</f>
        <v>59843.236851822992</v>
      </c>
      <c r="AG77" s="4">
        <f>IF('Rhaniad y Ddeiliadaeth (Cymru)'!$D$8="Amcangyfrifon LlC",'Incwm (Canol. &amp; De-orll)'!H77,'Incwm (Canol. &amp; De-orll)'!Z77)</f>
        <v>62357.679904879697</v>
      </c>
    </row>
    <row r="78" spans="2:33" x14ac:dyDescent="0.25">
      <c r="B78" s="20">
        <v>84</v>
      </c>
      <c r="C78" s="56">
        <v>52625.5</v>
      </c>
      <c r="D78" s="57">
        <f>C78*(1+'Rhaniad y Ddeiliadaeth (C&amp;De-o)'!C$109)+(C$44*(-(50-$B78)*('Rhaniad y Ddeiliadaeth (C&amp;De-o)'!C$110/40)))</f>
        <v>54701.621398494419</v>
      </c>
      <c r="E78" s="57">
        <f>D78*(1+'Rhaniad y Ddeiliadaeth (C&amp;De-o)'!D$109)+(D$44*(-(50-$B78)*('Rhaniad y Ddeiliadaeth (C&amp;De-o)'!D$110/40)))</f>
        <v>56330.019269989927</v>
      </c>
      <c r="F78" s="57">
        <f>E78*(1+'Rhaniad y Ddeiliadaeth (C&amp;De-o)'!E$109)+(E$44*(-(50-$B78)*('Rhaniad y Ddeiliadaeth (C&amp;De-o)'!E$110/40)))</f>
        <v>58405.474086457012</v>
      </c>
      <c r="G78" s="57">
        <f>F78*(1+'Rhaniad y Ddeiliadaeth (C&amp;De-o)'!F$109)+(F$44*(-(50-$B78)*('Rhaniad y Ddeiliadaeth (C&amp;De-o)'!F$110/40)))</f>
        <v>60806.61938235657</v>
      </c>
      <c r="H78" s="58">
        <f>G78*(1+'Rhaniad y Ddeiliadaeth (C&amp;De-o)'!G$109)+(G$44*(-(50-$B78)*('Rhaniad y Ddeiliadaeth (C&amp;De-o)'!G$110/40)))</f>
        <v>63364.902929007309</v>
      </c>
      <c r="L78" s="62" t="str">
        <f t="shared" si="4"/>
        <v/>
      </c>
      <c r="M78" s="227"/>
      <c r="N78" s="14">
        <f t="shared" si="7"/>
        <v>1</v>
      </c>
      <c r="T78" s="1">
        <f t="shared" si="5"/>
        <v>84</v>
      </c>
      <c r="U78" s="4" t="str">
        <f t="shared" si="6"/>
        <v/>
      </c>
      <c r="V78" s="4" t="e">
        <f>IF($V$3=$M$3,M78,U78*(1+'Rhaniad y Ddeiliadaeth (C&amp;De-o)'!C$109)+(U$44*(-(50-$T78)*('Rhaniad y Ddeiliadaeth (C&amp;De-o)'!C$110/40))))</f>
        <v>#VALUE!</v>
      </c>
      <c r="W78" s="4" t="e">
        <f>V78*(1+'Rhaniad y Ddeiliadaeth (C&amp;De-o)'!D$109)+(V$44*(-(50-$T78)*('Rhaniad y Ddeiliadaeth (C&amp;De-o)'!D$110/40)))</f>
        <v>#VALUE!</v>
      </c>
      <c r="X78" s="4" t="e">
        <f>W78*(1+'Rhaniad y Ddeiliadaeth (C&amp;De-o)'!E$109)+(W$44*(-(50-$T78)*('Rhaniad y Ddeiliadaeth (C&amp;De-o)'!E$110/40)))</f>
        <v>#VALUE!</v>
      </c>
      <c r="Y78" s="4" t="e">
        <f>X78*(1+'Rhaniad y Ddeiliadaeth (C&amp;De-o)'!F$109)+(X$44*(-(50-$T78)*('Rhaniad y Ddeiliadaeth (C&amp;De-o)'!F$110/40)))</f>
        <v>#VALUE!</v>
      </c>
      <c r="Z78" s="4" t="e">
        <f>Y78*(1+'Rhaniad y Ddeiliadaeth (C&amp;De-o)'!G$109)+(Y$44*(-(50-$T78)*('Rhaniad y Ddeiliadaeth (C&amp;De-o)'!G$110/40)))</f>
        <v>#VALUE!</v>
      </c>
      <c r="AB78" s="1">
        <v>84</v>
      </c>
      <c r="AC78" s="4">
        <f>IF('Rhaniad y Ddeiliadaeth (Cymru)'!$D$8="Amcangyfrifon LlC",'Incwm (Canol. &amp; De-orll)'!D78,'Incwm (Canol. &amp; De-orll)'!V78)</f>
        <v>54701.621398494419</v>
      </c>
      <c r="AD78" s="4">
        <f>IF('Rhaniad y Ddeiliadaeth (Cymru)'!$D$8="Amcangyfrifon LlC",'Incwm (Canol. &amp; De-orll)'!E78,'Incwm (Canol. &amp; De-orll)'!W78)</f>
        <v>56330.019269989927</v>
      </c>
      <c r="AE78" s="4">
        <f>IF('Rhaniad y Ddeiliadaeth (Cymru)'!$D$8="Amcangyfrifon LlC",'Incwm (Canol. &amp; De-orll)'!F78,'Incwm (Canol. &amp; De-orll)'!X78)</f>
        <v>58405.474086457012</v>
      </c>
      <c r="AF78" s="4">
        <f>IF('Rhaniad y Ddeiliadaeth (Cymru)'!$D$8="Amcangyfrifon LlC",'Incwm (Canol. &amp; De-orll)'!G78,'Incwm (Canol. &amp; De-orll)'!Y78)</f>
        <v>60806.61938235657</v>
      </c>
      <c r="AG78" s="4">
        <f>IF('Rhaniad y Ddeiliadaeth (Cymru)'!$D$8="Amcangyfrifon LlC",'Incwm (Canol. &amp; De-orll)'!H78,'Incwm (Canol. &amp; De-orll)'!Z78)</f>
        <v>63364.902929007309</v>
      </c>
    </row>
    <row r="79" spans="2:33" x14ac:dyDescent="0.25">
      <c r="B79" s="20">
        <v>85</v>
      </c>
      <c r="C79" s="56">
        <v>54428</v>
      </c>
      <c r="D79" s="57">
        <f>C79*(1+'Rhaniad y Ddeiliadaeth (C&amp;De-o)'!C$109)+(C$44*(-(50-$B79)*('Rhaniad y Ddeiliadaeth (C&amp;De-o)'!C$110/40)))</f>
        <v>56574.194094683269</v>
      </c>
      <c r="E79" s="57">
        <f>D79*(1+'Rhaniad y Ddeiliadaeth (C&amp;De-o)'!D$109)+(D$44*(-(50-$B79)*('Rhaniad y Ddeiliadaeth (C&amp;De-o)'!D$110/40)))</f>
        <v>58257.266101223904</v>
      </c>
      <c r="F79" s="57">
        <f>E79*(1+'Rhaniad y Ddeiliadaeth (C&amp;De-o)'!E$109)+(E$44*(-(50-$B79)*('Rhaniad y Ddeiliadaeth (C&amp;De-o)'!E$110/40)))</f>
        <v>60402.63631610114</v>
      </c>
      <c r="G79" s="57">
        <f>F79*(1+'Rhaniad y Ddeiliadaeth (C&amp;De-o)'!F$109)+(F$44*(-(50-$B79)*('Rhaniad y Ddeiliadaeth (C&amp;De-o)'!F$110/40)))</f>
        <v>62884.763619965452</v>
      </c>
      <c r="H79" s="58">
        <f>G79*(1+'Rhaniad y Ddeiliadaeth (C&amp;De-o)'!G$109)+(G$44*(-(50-$B79)*('Rhaniad y Ddeiliadaeth (C&amp;De-o)'!G$110/40)))</f>
        <v>65529.317968969764</v>
      </c>
      <c r="L79" s="62" t="str">
        <f t="shared" si="4"/>
        <v/>
      </c>
      <c r="M79" s="227"/>
      <c r="N79" s="14">
        <f t="shared" si="7"/>
        <v>1</v>
      </c>
      <c r="T79" s="1">
        <f t="shared" si="5"/>
        <v>85</v>
      </c>
      <c r="U79" s="4" t="str">
        <f t="shared" si="6"/>
        <v/>
      </c>
      <c r="V79" s="4" t="e">
        <f>IF($V$3=$M$3,M79,U79*(1+'Rhaniad y Ddeiliadaeth (C&amp;De-o)'!C$109)+(U$44*(-(50-$T79)*('Rhaniad y Ddeiliadaeth (C&amp;De-o)'!C$110/40))))</f>
        <v>#VALUE!</v>
      </c>
      <c r="W79" s="4" t="e">
        <f>V79*(1+'Rhaniad y Ddeiliadaeth (C&amp;De-o)'!D$109)+(V$44*(-(50-$T79)*('Rhaniad y Ddeiliadaeth (C&amp;De-o)'!D$110/40)))</f>
        <v>#VALUE!</v>
      </c>
      <c r="X79" s="4" t="e">
        <f>W79*(1+'Rhaniad y Ddeiliadaeth (C&amp;De-o)'!E$109)+(W$44*(-(50-$T79)*('Rhaniad y Ddeiliadaeth (C&amp;De-o)'!E$110/40)))</f>
        <v>#VALUE!</v>
      </c>
      <c r="Y79" s="4" t="e">
        <f>X79*(1+'Rhaniad y Ddeiliadaeth (C&amp;De-o)'!F$109)+(X$44*(-(50-$T79)*('Rhaniad y Ddeiliadaeth (C&amp;De-o)'!F$110/40)))</f>
        <v>#VALUE!</v>
      </c>
      <c r="Z79" s="4" t="e">
        <f>Y79*(1+'Rhaniad y Ddeiliadaeth (C&amp;De-o)'!G$109)+(Y$44*(-(50-$T79)*('Rhaniad y Ddeiliadaeth (C&amp;De-o)'!G$110/40)))</f>
        <v>#VALUE!</v>
      </c>
      <c r="AB79" s="1">
        <v>85</v>
      </c>
      <c r="AC79" s="4">
        <f>IF('Rhaniad y Ddeiliadaeth (Cymru)'!$D$8="Amcangyfrifon LlC",'Incwm (Canol. &amp; De-orll)'!D79,'Incwm (Canol. &amp; De-orll)'!V79)</f>
        <v>56574.194094683269</v>
      </c>
      <c r="AD79" s="4">
        <f>IF('Rhaniad y Ddeiliadaeth (Cymru)'!$D$8="Amcangyfrifon LlC",'Incwm (Canol. &amp; De-orll)'!E79,'Incwm (Canol. &amp; De-orll)'!W79)</f>
        <v>58257.266101223904</v>
      </c>
      <c r="AE79" s="4">
        <f>IF('Rhaniad y Ddeiliadaeth (Cymru)'!$D$8="Amcangyfrifon LlC",'Incwm (Canol. &amp; De-orll)'!F79,'Incwm (Canol. &amp; De-orll)'!X79)</f>
        <v>60402.63631610114</v>
      </c>
      <c r="AF79" s="4">
        <f>IF('Rhaniad y Ddeiliadaeth (Cymru)'!$D$8="Amcangyfrifon LlC",'Incwm (Canol. &amp; De-orll)'!G79,'Incwm (Canol. &amp; De-orll)'!Y79)</f>
        <v>62884.763619965452</v>
      </c>
      <c r="AG79" s="4">
        <f>IF('Rhaniad y Ddeiliadaeth (Cymru)'!$D$8="Amcangyfrifon LlC",'Incwm (Canol. &amp; De-orll)'!H79,'Incwm (Canol. &amp; De-orll)'!Z79)</f>
        <v>65529.317968969764</v>
      </c>
    </row>
    <row r="80" spans="2:33" x14ac:dyDescent="0.25">
      <c r="B80" s="20">
        <v>86</v>
      </c>
      <c r="C80" s="56">
        <v>56036</v>
      </c>
      <c r="D80" s="57">
        <f>C80*(1+'Rhaniad y Ddeiliadaeth (C&amp;De-o)'!C$109)+(C$44*(-(50-$B80)*('Rhaniad y Ddeiliadaeth (C&amp;De-o)'!C$110/40)))</f>
        <v>58245.385893835373</v>
      </c>
      <c r="E80" s="57">
        <f>D80*(1+'Rhaniad y Ddeiliadaeth (C&amp;De-o)'!D$109)+(D$44*(-(50-$B80)*('Rhaniad y Ddeiliadaeth (C&amp;De-o)'!D$110/40)))</f>
        <v>59977.954292012444</v>
      </c>
      <c r="F80" s="57">
        <f>E80*(1+'Rhaniad y Ddeiliadaeth (C&amp;De-o)'!E$109)+(E$44*(-(50-$B80)*('Rhaniad y Ddeiliadaeth (C&amp;De-o)'!E$110/40)))</f>
        <v>62186.464159831448</v>
      </c>
      <c r="G80" s="57">
        <f>F80*(1+'Rhaniad y Ddeiliadaeth (C&amp;De-o)'!F$109)+(F$44*(-(50-$B80)*('Rhaniad y Ddeiliadaeth (C&amp;De-o)'!F$110/40)))</f>
        <v>64741.661784078278</v>
      </c>
      <c r="H80" s="58">
        <f>G80*(1+'Rhaniad y Ddeiliadaeth (C&amp;De-o)'!G$109)+(G$44*(-(50-$B80)*('Rhaniad y Ddeiliadaeth (C&amp;De-o)'!G$110/40)))</f>
        <v>67464.065818034389</v>
      </c>
      <c r="L80" s="62" t="str">
        <f t="shared" si="4"/>
        <v/>
      </c>
      <c r="M80" s="227"/>
      <c r="N80" s="14">
        <f t="shared" si="7"/>
        <v>1</v>
      </c>
      <c r="T80" s="1">
        <f t="shared" si="5"/>
        <v>86</v>
      </c>
      <c r="U80" s="4" t="str">
        <f t="shared" si="6"/>
        <v/>
      </c>
      <c r="V80" s="4" t="e">
        <f>IF($V$3=$M$3,M80,U80*(1+'Rhaniad y Ddeiliadaeth (C&amp;De-o)'!C$109)+(U$44*(-(50-$T80)*('Rhaniad y Ddeiliadaeth (C&amp;De-o)'!C$110/40))))</f>
        <v>#VALUE!</v>
      </c>
      <c r="W80" s="4" t="e">
        <f>V80*(1+'Rhaniad y Ddeiliadaeth (C&amp;De-o)'!D$109)+(V$44*(-(50-$T80)*('Rhaniad y Ddeiliadaeth (C&amp;De-o)'!D$110/40)))</f>
        <v>#VALUE!</v>
      </c>
      <c r="X80" s="4" t="e">
        <f>W80*(1+'Rhaniad y Ddeiliadaeth (C&amp;De-o)'!E$109)+(W$44*(-(50-$T80)*('Rhaniad y Ddeiliadaeth (C&amp;De-o)'!E$110/40)))</f>
        <v>#VALUE!</v>
      </c>
      <c r="Y80" s="4" t="e">
        <f>X80*(1+'Rhaniad y Ddeiliadaeth (C&amp;De-o)'!F$109)+(X$44*(-(50-$T80)*('Rhaniad y Ddeiliadaeth (C&amp;De-o)'!F$110/40)))</f>
        <v>#VALUE!</v>
      </c>
      <c r="Z80" s="4" t="e">
        <f>Y80*(1+'Rhaniad y Ddeiliadaeth (C&amp;De-o)'!G$109)+(Y$44*(-(50-$T80)*('Rhaniad y Ddeiliadaeth (C&amp;De-o)'!G$110/40)))</f>
        <v>#VALUE!</v>
      </c>
      <c r="AB80" s="1">
        <v>86</v>
      </c>
      <c r="AC80" s="4">
        <f>IF('Rhaniad y Ddeiliadaeth (Cymru)'!$D$8="Amcangyfrifon LlC",'Incwm (Canol. &amp; De-orll)'!D80,'Incwm (Canol. &amp; De-orll)'!V80)</f>
        <v>58245.385893835373</v>
      </c>
      <c r="AD80" s="4">
        <f>IF('Rhaniad y Ddeiliadaeth (Cymru)'!$D$8="Amcangyfrifon LlC",'Incwm (Canol. &amp; De-orll)'!E80,'Incwm (Canol. &amp; De-orll)'!W80)</f>
        <v>59977.954292012444</v>
      </c>
      <c r="AE80" s="4">
        <f>IF('Rhaniad y Ddeiliadaeth (Cymru)'!$D$8="Amcangyfrifon LlC",'Incwm (Canol. &amp; De-orll)'!F80,'Incwm (Canol. &amp; De-orll)'!X80)</f>
        <v>62186.464159831448</v>
      </c>
      <c r="AF80" s="4">
        <f>IF('Rhaniad y Ddeiliadaeth (Cymru)'!$D$8="Amcangyfrifon LlC",'Incwm (Canol. &amp; De-orll)'!G80,'Incwm (Canol. &amp; De-orll)'!Y80)</f>
        <v>64741.661784078278</v>
      </c>
      <c r="AG80" s="4">
        <f>IF('Rhaniad y Ddeiliadaeth (Cymru)'!$D$8="Amcangyfrifon LlC",'Incwm (Canol. &amp; De-orll)'!H80,'Incwm (Canol. &amp; De-orll)'!Z80)</f>
        <v>67464.065818034389</v>
      </c>
    </row>
    <row r="81" spans="2:33" x14ac:dyDescent="0.25">
      <c r="B81" s="20">
        <v>87</v>
      </c>
      <c r="C81" s="56">
        <v>57082.7</v>
      </c>
      <c r="D81" s="57">
        <f>C81*(1+'Rhaniad y Ddeiliadaeth (C&amp;De-o)'!C$109)+(C$44*(-(50-$B81)*('Rhaniad y Ddeiliadaeth (C&amp;De-o)'!C$110/40)))</f>
        <v>59335.420379328221</v>
      </c>
      <c r="E81" s="57">
        <f>D81*(1+'Rhaniad y Ddeiliadaeth (C&amp;De-o)'!D$109)+(D$44*(-(50-$B81)*('Rhaniad y Ddeiliadaeth (C&amp;De-o)'!D$110/40)))</f>
        <v>61102.542920425542</v>
      </c>
      <c r="F81" s="57">
        <f>E81*(1+'Rhaniad y Ddeiliadaeth (C&amp;De-o)'!E$109)+(E$44*(-(50-$B81)*('Rhaniad y Ddeiliadaeth (C&amp;De-o)'!E$110/40)))</f>
        <v>63354.638580356455</v>
      </c>
      <c r="G81" s="57">
        <f>F81*(1+'Rhaniad y Ddeiliadaeth (C&amp;De-o)'!F$109)+(F$44*(-(50-$B81)*('Rhaniad y Ddeiliadaeth (C&amp;De-o)'!F$110/40)))</f>
        <v>65960.074492903965</v>
      </c>
      <c r="H81" s="58">
        <f>G81*(1+'Rhaniad y Ddeiliadaeth (C&amp;De-o)'!G$109)+(G$44*(-(50-$B81)*('Rhaniad y Ddeiliadaeth (C&amp;De-o)'!G$110/40)))</f>
        <v>68736.026035988703</v>
      </c>
      <c r="L81" s="62" t="str">
        <f t="shared" si="4"/>
        <v/>
      </c>
      <c r="M81" s="227"/>
      <c r="N81" s="14">
        <f t="shared" si="7"/>
        <v>1</v>
      </c>
      <c r="T81" s="1">
        <f t="shared" si="5"/>
        <v>87</v>
      </c>
      <c r="U81" s="4" t="str">
        <f t="shared" si="6"/>
        <v/>
      </c>
      <c r="V81" s="4" t="e">
        <f>IF($V$3=$M$3,M81,U81*(1+'Rhaniad y Ddeiliadaeth (C&amp;De-o)'!C$109)+(U$44*(-(50-$T81)*('Rhaniad y Ddeiliadaeth (C&amp;De-o)'!C$110/40))))</f>
        <v>#VALUE!</v>
      </c>
      <c r="W81" s="4" t="e">
        <f>V81*(1+'Rhaniad y Ddeiliadaeth (C&amp;De-o)'!D$109)+(V$44*(-(50-$T81)*('Rhaniad y Ddeiliadaeth (C&amp;De-o)'!D$110/40)))</f>
        <v>#VALUE!</v>
      </c>
      <c r="X81" s="4" t="e">
        <f>W81*(1+'Rhaniad y Ddeiliadaeth (C&amp;De-o)'!E$109)+(W$44*(-(50-$T81)*('Rhaniad y Ddeiliadaeth (C&amp;De-o)'!E$110/40)))</f>
        <v>#VALUE!</v>
      </c>
      <c r="Y81" s="4" t="e">
        <f>X81*(1+'Rhaniad y Ddeiliadaeth (C&amp;De-o)'!F$109)+(X$44*(-(50-$T81)*('Rhaniad y Ddeiliadaeth (C&amp;De-o)'!F$110/40)))</f>
        <v>#VALUE!</v>
      </c>
      <c r="Z81" s="4" t="e">
        <f>Y81*(1+'Rhaniad y Ddeiliadaeth (C&amp;De-o)'!G$109)+(Y$44*(-(50-$T81)*('Rhaniad y Ddeiliadaeth (C&amp;De-o)'!G$110/40)))</f>
        <v>#VALUE!</v>
      </c>
      <c r="AB81" s="1">
        <v>87</v>
      </c>
      <c r="AC81" s="4">
        <f>IF('Rhaniad y Ddeiliadaeth (Cymru)'!$D$8="Amcangyfrifon LlC",'Incwm (Canol. &amp; De-orll)'!D81,'Incwm (Canol. &amp; De-orll)'!V81)</f>
        <v>59335.420379328221</v>
      </c>
      <c r="AD81" s="4">
        <f>IF('Rhaniad y Ddeiliadaeth (Cymru)'!$D$8="Amcangyfrifon LlC",'Incwm (Canol. &amp; De-orll)'!E81,'Incwm (Canol. &amp; De-orll)'!W81)</f>
        <v>61102.542920425542</v>
      </c>
      <c r="AE81" s="4">
        <f>IF('Rhaniad y Ddeiliadaeth (Cymru)'!$D$8="Amcangyfrifon LlC",'Incwm (Canol. &amp; De-orll)'!F81,'Incwm (Canol. &amp; De-orll)'!X81)</f>
        <v>63354.638580356455</v>
      </c>
      <c r="AF81" s="4">
        <f>IF('Rhaniad y Ddeiliadaeth (Cymru)'!$D$8="Amcangyfrifon LlC",'Incwm (Canol. &amp; De-orll)'!G81,'Incwm (Canol. &amp; De-orll)'!Y81)</f>
        <v>65960.074492903965</v>
      </c>
      <c r="AG81" s="4">
        <f>IF('Rhaniad y Ddeiliadaeth (Cymru)'!$D$8="Amcangyfrifon LlC",'Incwm (Canol. &amp; De-orll)'!H81,'Incwm (Canol. &amp; De-orll)'!Z81)</f>
        <v>68736.026035988703</v>
      </c>
    </row>
    <row r="82" spans="2:33" x14ac:dyDescent="0.25">
      <c r="B82" s="20">
        <v>88</v>
      </c>
      <c r="C82" s="56">
        <v>59680.25</v>
      </c>
      <c r="D82" s="57">
        <f>C82*(1+'Rhaniad y Ddeiliadaeth (C&amp;De-o)'!C$109)+(C$44*(-(50-$B82)*('Rhaniad y Ddeiliadaeth (C&amp;De-o)'!C$110/40)))</f>
        <v>62031.16984769734</v>
      </c>
      <c r="E82" s="57">
        <f>D82*(1+'Rhaniad y Ddeiliadaeth (C&amp;De-o)'!D$109)+(D$44*(-(50-$B82)*('Rhaniad y Ddeiliadaeth (C&amp;De-o)'!D$110/40)))</f>
        <v>63874.131381922467</v>
      </c>
      <c r="F82" s="57">
        <f>E82*(1+'Rhaniad y Ddeiliadaeth (C&amp;De-o)'!E$109)+(E$44*(-(50-$B82)*('Rhaniad y Ddeiliadaeth (C&amp;De-o)'!E$110/40)))</f>
        <v>66223.839388513632</v>
      </c>
      <c r="G82" s="57">
        <f>F82*(1+'Rhaniad y Ddeiliadaeth (C&amp;De-o)'!F$109)+(F$44*(-(50-$B82)*('Rhaniad y Ddeiliadaeth (C&amp;De-o)'!F$110/40)))</f>
        <v>68942.597603176357</v>
      </c>
      <c r="H82" s="58">
        <f>G82*(1+'Rhaniad y Ddeiliadaeth (C&amp;De-o)'!G$109)+(G$44*(-(50-$B82)*('Rhaniad y Ddeiliadaeth (C&amp;De-o)'!G$110/40)))</f>
        <v>71839.24261900167</v>
      </c>
      <c r="L82" s="62" t="str">
        <f t="shared" si="4"/>
        <v/>
      </c>
      <c r="M82" s="227"/>
      <c r="N82" s="14">
        <f t="shared" si="7"/>
        <v>1</v>
      </c>
      <c r="T82" s="1">
        <f t="shared" si="5"/>
        <v>88</v>
      </c>
      <c r="U82" s="4" t="str">
        <f t="shared" si="6"/>
        <v/>
      </c>
      <c r="V82" s="4" t="e">
        <f>IF($V$3=$M$3,M82,U82*(1+'Rhaniad y Ddeiliadaeth (C&amp;De-o)'!C$109)+(U$44*(-(50-$T82)*('Rhaniad y Ddeiliadaeth (C&amp;De-o)'!C$110/40))))</f>
        <v>#VALUE!</v>
      </c>
      <c r="W82" s="4" t="e">
        <f>V82*(1+'Rhaniad y Ddeiliadaeth (C&amp;De-o)'!D$109)+(V$44*(-(50-$T82)*('Rhaniad y Ddeiliadaeth (C&amp;De-o)'!D$110/40)))</f>
        <v>#VALUE!</v>
      </c>
      <c r="X82" s="4" t="e">
        <f>W82*(1+'Rhaniad y Ddeiliadaeth (C&amp;De-o)'!E$109)+(W$44*(-(50-$T82)*('Rhaniad y Ddeiliadaeth (C&amp;De-o)'!E$110/40)))</f>
        <v>#VALUE!</v>
      </c>
      <c r="Y82" s="4" t="e">
        <f>X82*(1+'Rhaniad y Ddeiliadaeth (C&amp;De-o)'!F$109)+(X$44*(-(50-$T82)*('Rhaniad y Ddeiliadaeth (C&amp;De-o)'!F$110/40)))</f>
        <v>#VALUE!</v>
      </c>
      <c r="Z82" s="4" t="e">
        <f>Y82*(1+'Rhaniad y Ddeiliadaeth (C&amp;De-o)'!G$109)+(Y$44*(-(50-$T82)*('Rhaniad y Ddeiliadaeth (C&amp;De-o)'!G$110/40)))</f>
        <v>#VALUE!</v>
      </c>
      <c r="AB82" s="1">
        <v>88</v>
      </c>
      <c r="AC82" s="4">
        <f>IF('Rhaniad y Ddeiliadaeth (Cymru)'!$D$8="Amcangyfrifon LlC",'Incwm (Canol. &amp; De-orll)'!D82,'Incwm (Canol. &amp; De-orll)'!V82)</f>
        <v>62031.16984769734</v>
      </c>
      <c r="AD82" s="4">
        <f>IF('Rhaniad y Ddeiliadaeth (Cymru)'!$D$8="Amcangyfrifon LlC",'Incwm (Canol. &amp; De-orll)'!E82,'Incwm (Canol. &amp; De-orll)'!W82)</f>
        <v>63874.131381922467</v>
      </c>
      <c r="AE82" s="4">
        <f>IF('Rhaniad y Ddeiliadaeth (Cymru)'!$D$8="Amcangyfrifon LlC",'Incwm (Canol. &amp; De-orll)'!F82,'Incwm (Canol. &amp; De-orll)'!X82)</f>
        <v>66223.839388513632</v>
      </c>
      <c r="AF82" s="4">
        <f>IF('Rhaniad y Ddeiliadaeth (Cymru)'!$D$8="Amcangyfrifon LlC",'Incwm (Canol. &amp; De-orll)'!G82,'Incwm (Canol. &amp; De-orll)'!Y82)</f>
        <v>68942.597603176357</v>
      </c>
      <c r="AG82" s="4">
        <f>IF('Rhaniad y Ddeiliadaeth (Cymru)'!$D$8="Amcangyfrifon LlC",'Incwm (Canol. &amp; De-orll)'!H82,'Incwm (Canol. &amp; De-orll)'!Z82)</f>
        <v>71839.24261900167</v>
      </c>
    </row>
    <row r="83" spans="2:33" x14ac:dyDescent="0.25">
      <c r="B83" s="20">
        <v>89</v>
      </c>
      <c r="C83" s="56">
        <v>61738.8</v>
      </c>
      <c r="D83" s="57">
        <f>C83*(1+'Rhaniad y Ddeiliadaeth (C&amp;De-o)'!C$109)+(C$44*(-(50-$B83)*('Rhaniad y Ddeiliadaeth (C&amp;De-o)'!C$110/40)))</f>
        <v>64168.850917594456</v>
      </c>
      <c r="E83" s="57">
        <f>D83*(1+'Rhaniad y Ddeiliadaeth (C&amp;De-o)'!D$109)+(D$44*(-(50-$B83)*('Rhaniad y Ddeiliadaeth (C&amp;De-o)'!D$110/40)))</f>
        <v>66073.302839819968</v>
      </c>
      <c r="F83" s="57">
        <f>E83*(1+'Rhaniad y Ddeiliadaeth (C&amp;De-o)'!E$109)+(E$44*(-(50-$B83)*('Rhaniad y Ddeiliadaeth (C&amp;De-o)'!E$110/40)))</f>
        <v>68501.846191490578</v>
      </c>
      <c r="G83" s="57">
        <f>F83*(1+'Rhaniad y Ddeiliadaeth (C&amp;De-o)'!F$109)+(F$44*(-(50-$B83)*('Rhaniad y Ddeiliadaeth (C&amp;De-o)'!F$110/40)))</f>
        <v>71312.001774557313</v>
      </c>
      <c r="H83" s="58">
        <f>G83*(1+'Rhaniad y Ddeiliadaeth (C&amp;De-o)'!G$109)+(G$44*(-(50-$B83)*('Rhaniad y Ddeiliadaeth (C&amp;De-o)'!G$110/40)))</f>
        <v>74306.003593305461</v>
      </c>
      <c r="L83" s="62" t="str">
        <f t="shared" si="4"/>
        <v/>
      </c>
      <c r="M83" s="227"/>
      <c r="N83" s="14">
        <f t="shared" si="7"/>
        <v>1</v>
      </c>
      <c r="T83" s="1">
        <f t="shared" si="5"/>
        <v>89</v>
      </c>
      <c r="U83" s="4" t="str">
        <f t="shared" si="6"/>
        <v/>
      </c>
      <c r="V83" s="4" t="e">
        <f>IF($V$3=$M$3,M83,U83*(1+'Rhaniad y Ddeiliadaeth (C&amp;De-o)'!C$109)+(U$44*(-(50-$T83)*('Rhaniad y Ddeiliadaeth (C&amp;De-o)'!C$110/40))))</f>
        <v>#VALUE!</v>
      </c>
      <c r="W83" s="4" t="e">
        <f>V83*(1+'Rhaniad y Ddeiliadaeth (C&amp;De-o)'!D$109)+(V$44*(-(50-$T83)*('Rhaniad y Ddeiliadaeth (C&amp;De-o)'!D$110/40)))</f>
        <v>#VALUE!</v>
      </c>
      <c r="X83" s="4" t="e">
        <f>W83*(1+'Rhaniad y Ddeiliadaeth (C&amp;De-o)'!E$109)+(W$44*(-(50-$T83)*('Rhaniad y Ddeiliadaeth (C&amp;De-o)'!E$110/40)))</f>
        <v>#VALUE!</v>
      </c>
      <c r="Y83" s="4" t="e">
        <f>X83*(1+'Rhaniad y Ddeiliadaeth (C&amp;De-o)'!F$109)+(X$44*(-(50-$T83)*('Rhaniad y Ddeiliadaeth (C&amp;De-o)'!F$110/40)))</f>
        <v>#VALUE!</v>
      </c>
      <c r="Z83" s="4" t="e">
        <f>Y83*(1+'Rhaniad y Ddeiliadaeth (C&amp;De-o)'!G$109)+(Y$44*(-(50-$T83)*('Rhaniad y Ddeiliadaeth (C&amp;De-o)'!G$110/40)))</f>
        <v>#VALUE!</v>
      </c>
      <c r="AB83" s="1">
        <v>89</v>
      </c>
      <c r="AC83" s="4">
        <f>IF('Rhaniad y Ddeiliadaeth (Cymru)'!$D$8="Amcangyfrifon LlC",'Incwm (Canol. &amp; De-orll)'!D83,'Incwm (Canol. &amp; De-orll)'!V83)</f>
        <v>64168.850917594456</v>
      </c>
      <c r="AD83" s="4">
        <f>IF('Rhaniad y Ddeiliadaeth (Cymru)'!$D$8="Amcangyfrifon LlC",'Incwm (Canol. &amp; De-orll)'!E83,'Incwm (Canol. &amp; De-orll)'!W83)</f>
        <v>66073.302839819968</v>
      </c>
      <c r="AE83" s="4">
        <f>IF('Rhaniad y Ddeiliadaeth (Cymru)'!$D$8="Amcangyfrifon LlC",'Incwm (Canol. &amp; De-orll)'!F83,'Incwm (Canol. &amp; De-orll)'!X83)</f>
        <v>68501.846191490578</v>
      </c>
      <c r="AF83" s="4">
        <f>IF('Rhaniad y Ddeiliadaeth (Cymru)'!$D$8="Amcangyfrifon LlC",'Incwm (Canol. &amp; De-orll)'!G83,'Incwm (Canol. &amp; De-orll)'!Y83)</f>
        <v>71312.001774557313</v>
      </c>
      <c r="AG83" s="4">
        <f>IF('Rhaniad y Ddeiliadaeth (Cymru)'!$D$8="Amcangyfrifon LlC",'Incwm (Canol. &amp; De-orll)'!H83,'Incwm (Canol. &amp; De-orll)'!Z83)</f>
        <v>74306.003593305461</v>
      </c>
    </row>
    <row r="84" spans="2:33" x14ac:dyDescent="0.25">
      <c r="B84" s="23">
        <v>90</v>
      </c>
      <c r="C84" s="59">
        <v>63910.8</v>
      </c>
      <c r="D84" s="60">
        <f>C84*(1+'Rhaniad y Ddeiliadaeth (C&amp;De-o)'!C$109)+(C$44*(-(50-$B84)*('Rhaniad y Ddeiliadaeth (C&amp;De-o)'!C$110/40)))</f>
        <v>66423.995549284984</v>
      </c>
      <c r="E84" s="60">
        <f>D84*(1+'Rhaniad y Ddeiliadaeth (C&amp;De-o)'!D$109)+(D$44*(-(50-$B84)*('Rhaniad y Ddeiliadaeth (C&amp;De-o)'!D$110/40)))</f>
        <v>68392.95798799269</v>
      </c>
      <c r="F84" s="60">
        <f>E84*(1+'Rhaniad y Ddeiliadaeth (C&amp;De-o)'!E$109)+(E$44*(-(50-$B84)*('Rhaniad y Ddeiliadaeth (C&amp;De-o)'!E$110/40)))</f>
        <v>70904.288912626522</v>
      </c>
      <c r="G84" s="60">
        <f>F84*(1+'Rhaniad y Ddeiliadaeth (C&amp;De-o)'!F$109)+(F$44*(-(50-$B84)*('Rhaniad y Ddeiliadaeth (C&amp;De-o)'!F$110/40)))</f>
        <v>73810.456676211455</v>
      </c>
      <c r="H84" s="61">
        <f>G84*(1+'Rhaniad y Ddeiliadaeth (C&amp;De-o)'!G$109)+(G$44*(-(50-$B84)*('Rhaniad y Ddeiliadaeth (C&amp;De-o)'!G$110/40)))</f>
        <v>76906.727255564852</v>
      </c>
      <c r="L84" s="63" t="str">
        <f t="shared" si="4"/>
        <v/>
      </c>
      <c r="M84" s="229"/>
      <c r="N84" s="14">
        <f t="shared" si="7"/>
        <v>1</v>
      </c>
      <c r="T84" s="1">
        <f t="shared" si="5"/>
        <v>90</v>
      </c>
      <c r="U84" s="4" t="str">
        <f t="shared" si="6"/>
        <v/>
      </c>
      <c r="V84" s="4" t="e">
        <f>IF($V$3=$M$3,M84,U84*(1+'Rhaniad y Ddeiliadaeth (C&amp;De-o)'!C$109)+(U$44*(-(50-$T84)*('Rhaniad y Ddeiliadaeth (C&amp;De-o)'!C$110/40))))</f>
        <v>#VALUE!</v>
      </c>
      <c r="W84" s="4" t="e">
        <f>V84*(1+'Rhaniad y Ddeiliadaeth (C&amp;De-o)'!D$109)+(V$44*(-(50-$T84)*('Rhaniad y Ddeiliadaeth (C&amp;De-o)'!D$110/40)))</f>
        <v>#VALUE!</v>
      </c>
      <c r="X84" s="4" t="e">
        <f>W84*(1+'Rhaniad y Ddeiliadaeth (C&amp;De-o)'!E$109)+(W$44*(-(50-$T84)*('Rhaniad y Ddeiliadaeth (C&amp;De-o)'!E$110/40)))</f>
        <v>#VALUE!</v>
      </c>
      <c r="Y84" s="4" t="e">
        <f>X84*(1+'Rhaniad y Ddeiliadaeth (C&amp;De-o)'!F$109)+(X$44*(-(50-$T84)*('Rhaniad y Ddeiliadaeth (C&amp;De-o)'!F$110/40)))</f>
        <v>#VALUE!</v>
      </c>
      <c r="Z84" s="4" t="e">
        <f>Y84*(1+'Rhaniad y Ddeiliadaeth (C&amp;De-o)'!G$109)+(Y$44*(-(50-$T84)*('Rhaniad y Ddeiliadaeth (C&amp;De-o)'!G$110/40)))</f>
        <v>#VALUE!</v>
      </c>
      <c r="AB84" s="1">
        <v>90</v>
      </c>
      <c r="AC84" s="4">
        <f>IF('Rhaniad y Ddeiliadaeth (Cymru)'!$D$8="Amcangyfrifon LlC",'Incwm (Canol. &amp; De-orll)'!D84,'Incwm (Canol. &amp; De-orll)'!V84)</f>
        <v>66423.995549284984</v>
      </c>
      <c r="AD84" s="4">
        <f>IF('Rhaniad y Ddeiliadaeth (Cymru)'!$D$8="Amcangyfrifon LlC",'Incwm (Canol. &amp; De-orll)'!E84,'Incwm (Canol. &amp; De-orll)'!W84)</f>
        <v>68392.95798799269</v>
      </c>
      <c r="AE84" s="4">
        <f>IF('Rhaniad y Ddeiliadaeth (Cymru)'!$D$8="Amcangyfrifon LlC",'Incwm (Canol. &amp; De-orll)'!F84,'Incwm (Canol. &amp; De-orll)'!X84)</f>
        <v>70904.288912626522</v>
      </c>
      <c r="AF84" s="4">
        <f>IF('Rhaniad y Ddeiliadaeth (Cymru)'!$D$8="Amcangyfrifon LlC",'Incwm (Canol. &amp; De-orll)'!G84,'Incwm (Canol. &amp; De-orll)'!Y84)</f>
        <v>73810.456676211455</v>
      </c>
      <c r="AG84" s="4">
        <f>IF('Rhaniad y Ddeiliadaeth (Cymru)'!$D$8="Amcangyfrifon LlC",'Incwm (Canol. &amp; De-orll)'!H84,'Incwm (Canol. &amp; De-orll)'!Z84)</f>
        <v>76906.727255564852</v>
      </c>
    </row>
    <row r="85" spans="2:33" x14ac:dyDescent="0.25">
      <c r="N85" s="14">
        <f>IF(SUM(N4:N84)&gt;0,1,0)</f>
        <v>1</v>
      </c>
    </row>
  </sheetData>
  <sheetProtection sheet="1" objects="1" scenarios="1"/>
  <mergeCells count="3">
    <mergeCell ref="B2:H2"/>
    <mergeCell ref="J2:M2"/>
    <mergeCell ref="J9:J10"/>
  </mergeCells>
  <dataValidations count="2">
    <dataValidation type="list" allowBlank="1" showInputMessage="1" showErrorMessage="1" sqref="K4">
      <formula1>"2017,2018"</formula1>
    </dataValidation>
    <dataValidation type="decimal" operator="greaterThan" allowBlank="1" showInputMessage="1" showErrorMessage="1" sqref="M4:M84">
      <formula1>0</formula1>
    </dataValidation>
  </dataValidations>
  <pageMargins left="0.7" right="0.7" top="0.75" bottom="0.75" header="0.3" footer="0.3"/>
  <pageSetup paperSize="9" scale="42" orientation="portrait" horizontalDpi="300" verticalDpi="300"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AG85"/>
  <sheetViews>
    <sheetView showGridLines="0" workbookViewId="0"/>
  </sheetViews>
  <sheetFormatPr defaultColWidth="9.140625" defaultRowHeight="15" x14ac:dyDescent="0.25"/>
  <cols>
    <col min="1" max="1" width="2.140625" style="1" customWidth="1"/>
    <col min="2" max="2" width="10.140625" style="1" bestFit="1" customWidth="1"/>
    <col min="3" max="3" width="9.140625" style="1"/>
    <col min="4" max="8" width="10.140625" style="1" bestFit="1" customWidth="1"/>
    <col min="9" max="9" width="9.140625" style="1"/>
    <col min="10" max="10" width="67" style="1" customWidth="1"/>
    <col min="11" max="11" width="9.140625" style="1"/>
    <col min="12" max="12" width="10.140625" style="1" customWidth="1"/>
    <col min="13" max="13" width="9.140625" style="1"/>
    <col min="14" max="14" width="9.140625" style="1" hidden="1" customWidth="1"/>
    <col min="15" max="16" width="9.140625" style="1"/>
    <col min="17" max="17" width="14.28515625" style="1" customWidth="1"/>
    <col min="18" max="19" width="9.140625" style="1"/>
    <col min="20" max="20" width="8.5703125" style="1" hidden="1" customWidth="1"/>
    <col min="21" max="26" width="10.140625" style="1" hidden="1" customWidth="1"/>
    <col min="27" max="28" width="9.140625" style="1" customWidth="1"/>
    <col min="29" max="29" width="10.140625" style="1" customWidth="1"/>
    <col min="30" max="33" width="9.140625" style="1" customWidth="1"/>
    <col min="34" max="16384" width="9.140625" style="1"/>
  </cols>
  <sheetData>
    <row r="1" spans="2:33" ht="9.75" customHeight="1" x14ac:dyDescent="0.25"/>
    <row r="2" spans="2:33" ht="27" customHeight="1" x14ac:dyDescent="0.25">
      <c r="B2" s="414" t="s">
        <v>148</v>
      </c>
      <c r="C2" s="415"/>
      <c r="D2" s="415"/>
      <c r="E2" s="415"/>
      <c r="F2" s="415"/>
      <c r="G2" s="415"/>
      <c r="H2" s="416"/>
      <c r="J2" s="417" t="s">
        <v>145</v>
      </c>
      <c r="K2" s="418"/>
      <c r="L2" s="418"/>
      <c r="M2" s="419"/>
      <c r="N2" s="65"/>
      <c r="U2" s="1" t="s">
        <v>293</v>
      </c>
      <c r="AB2" s="1" t="s">
        <v>294</v>
      </c>
    </row>
    <row r="3" spans="2:33" x14ac:dyDescent="0.25">
      <c r="B3" s="34" t="s">
        <v>144</v>
      </c>
      <c r="C3" s="35">
        <v>2017</v>
      </c>
      <c r="D3" s="35">
        <v>2018</v>
      </c>
      <c r="E3" s="35">
        <v>2019</v>
      </c>
      <c r="F3" s="35">
        <v>2020</v>
      </c>
      <c r="G3" s="35">
        <v>2021</v>
      </c>
      <c r="H3" s="55">
        <v>2022</v>
      </c>
      <c r="L3" s="34" t="s">
        <v>144</v>
      </c>
      <c r="M3" s="64">
        <f>K4</f>
        <v>0</v>
      </c>
      <c r="N3" s="66" t="s">
        <v>298</v>
      </c>
      <c r="U3" s="1">
        <v>2017</v>
      </c>
      <c r="V3" s="1">
        <v>2018</v>
      </c>
      <c r="W3" s="1">
        <v>2019</v>
      </c>
      <c r="X3" s="1">
        <v>2020</v>
      </c>
      <c r="Y3" s="1">
        <v>2021</v>
      </c>
      <c r="Z3" s="1">
        <v>2022</v>
      </c>
      <c r="AC3" s="1">
        <v>2018</v>
      </c>
      <c r="AD3" s="1">
        <v>2019</v>
      </c>
      <c r="AE3" s="1">
        <v>2020</v>
      </c>
      <c r="AF3" s="1">
        <v>2021</v>
      </c>
      <c r="AG3" s="1">
        <v>2022</v>
      </c>
    </row>
    <row r="4" spans="2:33" x14ac:dyDescent="0.25">
      <c r="B4" s="20">
        <v>10</v>
      </c>
      <c r="C4" s="57">
        <v>11681</v>
      </c>
      <c r="D4" s="57">
        <f>C4*(1+'Rhaniad y Ddeiliadaeth (De-ddn)'!C$109)+(C$44*(-(50-$B4)*('Rhaniad y Ddeiliadaeth (De-ddn)'!C$110/40)))</f>
        <v>11831.444973193857</v>
      </c>
      <c r="E4" s="57">
        <f>D4*(1+'Rhaniad y Ddeiliadaeth (De-ddn)'!D$109)+(D$44*(-(50-$B4)*('Rhaniad y Ddeiliadaeth (De-ddn)'!D$110/40)))</f>
        <v>11863.550455752405</v>
      </c>
      <c r="F4" s="57">
        <f>E4*(1+'Rhaniad y Ddeiliadaeth (De-ddn)'!E$109)+(E$44*(-(50-$B4)*('Rhaniad y Ddeiliadaeth (De-ddn)'!E$110/40)))</f>
        <v>11973.619648193326</v>
      </c>
      <c r="G4" s="57">
        <f>F4*(1+'Rhaniad y Ddeiliadaeth (De-ddn)'!F$109)+(F$44*(-(50-$B4)*('Rhaniad y Ddeiliadaeth (De-ddn)'!F$110/40)))</f>
        <v>12129.425525926945</v>
      </c>
      <c r="H4" s="58">
        <f>G4*(1+'Rhaniad y Ddeiliadaeth (De-ddn)'!G$109)+(G$44*(-(50-$B4)*('Rhaniad y Ddeiliadaeth (De-ddn)'!G$110/40)))</f>
        <v>12292.162561567004</v>
      </c>
      <c r="I4" s="4"/>
      <c r="J4" s="67" t="str">
        <f>IF('Rhaniad y Ddeiliadaeth (Cymru)'!D8="Arall","Dewiswch data pa flwyddyn hoffech ei ychwanegu:","")</f>
        <v/>
      </c>
      <c r="K4" s="238"/>
      <c r="L4" s="62" t="str">
        <f t="shared" ref="L4:L67" si="0">IF(ISBLANK($K$4),"",B4)</f>
        <v/>
      </c>
      <c r="M4" s="227"/>
      <c r="N4" s="14">
        <f>IF(ISBLANK(M4),1,0)</f>
        <v>1</v>
      </c>
      <c r="O4" s="11" t="str">
        <f>IF(J4="","","&lt;&lt; Ychwanegwch ddata pob canradd fan hyn.")</f>
        <v/>
      </c>
      <c r="T4" s="1">
        <f t="shared" ref="T4:T67" si="1">B4</f>
        <v>10</v>
      </c>
      <c r="U4" s="4" t="str">
        <f t="shared" ref="U4:U67" si="2">IF($M$3=$U$3,M4,"")</f>
        <v/>
      </c>
      <c r="V4" s="57" t="e">
        <f>IF($K$4=$V$3,M4,U4*(1+'Rhaniad y Ddeiliadaeth (De-ddn)'!C$109)+(U$44*(-(50-$B4)*('Rhaniad y Ddeiliadaeth (De-ddn)'!C$110/40))))</f>
        <v>#VALUE!</v>
      </c>
      <c r="W4" s="57" t="e">
        <f>V4*(1+'Rhaniad y Ddeiliadaeth (De-ddn)'!D$109)+(V$44*(-(50-$B4)*('Rhaniad y Ddeiliadaeth (De-ddn)'!D$110/40)))</f>
        <v>#VALUE!</v>
      </c>
      <c r="X4" s="57" t="e">
        <f>W4*(1+'Rhaniad y Ddeiliadaeth (De-ddn)'!E$109)+(W$44*(-(50-$B4)*('Rhaniad y Ddeiliadaeth (De-ddn)'!E$110/40)))</f>
        <v>#VALUE!</v>
      </c>
      <c r="Y4" s="57" t="e">
        <f>X4*(1+'Rhaniad y Ddeiliadaeth (De-ddn)'!F$109)+(X$44*(-(50-$B4)*('Rhaniad y Ddeiliadaeth (De-ddn)'!F$110/40)))</f>
        <v>#VALUE!</v>
      </c>
      <c r="Z4" s="57" t="e">
        <f>Y4*(1+'Rhaniad y Ddeiliadaeth (De-ddn)'!G$109)+(Y$44*(-(50-$B4)*('Rhaniad y Ddeiliadaeth (De-ddn)'!G$110/40)))</f>
        <v>#VALUE!</v>
      </c>
      <c r="AB4" s="1">
        <v>10</v>
      </c>
      <c r="AC4" s="4">
        <f>IF('Rhaniad y Ddeiliadaeth (Cymru)'!$D$8="Amcangyfrifon LlC",'Incwm (De-ddwyrain)'!D4,'Incwm (De-ddwyrain)'!V4)</f>
        <v>11831.444973193857</v>
      </c>
      <c r="AD4" s="4">
        <f>IF('Rhaniad y Ddeiliadaeth (Cymru)'!$D$8="Amcangyfrifon LlC",'Incwm (De-ddwyrain)'!E4,'Incwm (De-ddwyrain)'!W4)</f>
        <v>11863.550455752405</v>
      </c>
      <c r="AE4" s="4">
        <f>IF('Rhaniad y Ddeiliadaeth (Cymru)'!$D$8="Amcangyfrifon LlC",'Incwm (De-ddwyrain)'!F4,'Incwm (De-ddwyrain)'!X4)</f>
        <v>11973.619648193326</v>
      </c>
      <c r="AF4" s="4">
        <f>IF('Rhaniad y Ddeiliadaeth (Cymru)'!$D$8="Amcangyfrifon LlC",'Incwm (De-ddwyrain)'!G4,'Incwm (De-ddwyrain)'!Y4)</f>
        <v>12129.425525926945</v>
      </c>
      <c r="AG4" s="4">
        <f>IF('Rhaniad y Ddeiliadaeth (Cymru)'!$D$8="Amcangyfrifon LlC",'Incwm (De-ddwyrain)'!H4,'Incwm (De-ddwyrain)'!Z4)</f>
        <v>12292.162561567004</v>
      </c>
    </row>
    <row r="5" spans="2:33" x14ac:dyDescent="0.25">
      <c r="B5" s="20">
        <v>11</v>
      </c>
      <c r="C5" s="57">
        <v>12315.5</v>
      </c>
      <c r="D5" s="57">
        <f>C5*(1+'Rhaniad y Ddeiliadaeth (De-ddn)'!C$109)+(C$44*(-(50-$B5)*('Rhaniad y Ddeiliadaeth (De-ddn)'!C$110/40)))</f>
        <v>12494.961859799585</v>
      </c>
      <c r="E5" s="57">
        <f>D5*(1+'Rhaniad y Ddeiliadaeth (De-ddn)'!D$109)+(D$44*(-(50-$B5)*('Rhaniad y Ddeiliadaeth (De-ddn)'!D$110/40)))</f>
        <v>12550.929531575597</v>
      </c>
      <c r="F5" s="57">
        <f>E5*(1+'Rhaniad y Ddeiliadaeth (De-ddn)'!E$109)+(E$44*(-(50-$B5)*('Rhaniad y Ddeiliadaeth (De-ddn)'!E$110/40)))</f>
        <v>12690.524102535046</v>
      </c>
      <c r="G5" s="57">
        <f>F5*(1+'Rhaniad y Ddeiliadaeth (De-ddn)'!F$109)+(F$44*(-(50-$B5)*('Rhaniad y Ddeiliadaeth (De-ddn)'!F$110/40)))</f>
        <v>12880.123143541992</v>
      </c>
      <c r="H5" s="58">
        <f>G5*(1+'Rhaniad y Ddeiliadaeth (De-ddn)'!G$109)+(G$44*(-(50-$B5)*('Rhaniad y Ddeiliadaeth (De-ddn)'!G$110/40)))</f>
        <v>13078.906795968016</v>
      </c>
      <c r="J5" s="68" t="str">
        <f>IF(J4="","","Dim ond data ar gyfer un flwyddyn sydd angen i chi ychwanegu (unai 2017 neu 2018)")</f>
        <v/>
      </c>
      <c r="L5" s="62" t="str">
        <f t="shared" si="0"/>
        <v/>
      </c>
      <c r="M5" s="227"/>
      <c r="N5" s="14">
        <f t="shared" ref="N5:N68" si="3">IF(ISBLANK(M5),1,0)</f>
        <v>1</v>
      </c>
      <c r="T5" s="1">
        <f t="shared" si="1"/>
        <v>11</v>
      </c>
      <c r="U5" s="4" t="str">
        <f t="shared" si="2"/>
        <v/>
      </c>
      <c r="V5" s="57" t="e">
        <f>IF($K$4=$V$3,M5,U5*(1+'Rhaniad y Ddeiliadaeth (De-ddn)'!C$109)+(U$44*(-(50-$B5)*('Rhaniad y Ddeiliadaeth (De-ddn)'!C$110/40))))</f>
        <v>#VALUE!</v>
      </c>
      <c r="W5" s="57" t="e">
        <f>V5*(1+'Rhaniad y Ddeiliadaeth (De-ddn)'!D$109)+(V$44*(-(50-$B5)*('Rhaniad y Ddeiliadaeth (De-ddn)'!D$110/40)))</f>
        <v>#VALUE!</v>
      </c>
      <c r="X5" s="57" t="e">
        <f>W5*(1+'Rhaniad y Ddeiliadaeth (De-ddn)'!E$109)+(W$44*(-(50-$B5)*('Rhaniad y Ddeiliadaeth (De-ddn)'!E$110/40)))</f>
        <v>#VALUE!</v>
      </c>
      <c r="Y5" s="57" t="e">
        <f>X5*(1+'Rhaniad y Ddeiliadaeth (De-ddn)'!F$109)+(X$44*(-(50-$B5)*('Rhaniad y Ddeiliadaeth (De-ddn)'!F$110/40)))</f>
        <v>#VALUE!</v>
      </c>
      <c r="Z5" s="57" t="e">
        <f>Y5*(1+'Rhaniad y Ddeiliadaeth (De-ddn)'!G$109)+(Y$44*(-(50-$B5)*('Rhaniad y Ddeiliadaeth (De-ddn)'!G$110/40)))</f>
        <v>#VALUE!</v>
      </c>
      <c r="AB5" s="1">
        <v>11</v>
      </c>
      <c r="AC5" s="4">
        <f>IF('Rhaniad y Ddeiliadaeth (Cymru)'!$D$8="Amcangyfrifon LlC",'Incwm (De-ddwyrain)'!D5,'Incwm (De-ddwyrain)'!V5)</f>
        <v>12494.961859799585</v>
      </c>
      <c r="AD5" s="4">
        <f>IF('Rhaniad y Ddeiliadaeth (Cymru)'!$D$8="Amcangyfrifon LlC",'Incwm (De-ddwyrain)'!E5,'Incwm (De-ddwyrain)'!W5)</f>
        <v>12550.929531575597</v>
      </c>
      <c r="AE5" s="4">
        <f>IF('Rhaniad y Ddeiliadaeth (Cymru)'!$D$8="Amcangyfrifon LlC",'Incwm (De-ddwyrain)'!F5,'Incwm (De-ddwyrain)'!X5)</f>
        <v>12690.524102535046</v>
      </c>
      <c r="AF5" s="4">
        <f>IF('Rhaniad y Ddeiliadaeth (Cymru)'!$D$8="Amcangyfrifon LlC",'Incwm (De-ddwyrain)'!G5,'Incwm (De-ddwyrain)'!Y5)</f>
        <v>12880.123143541992</v>
      </c>
      <c r="AG5" s="4">
        <f>IF('Rhaniad y Ddeiliadaeth (Cymru)'!$D$8="Amcangyfrifon LlC",'Incwm (De-ddwyrain)'!H5,'Incwm (De-ddwyrain)'!Z5)</f>
        <v>13078.906795968016</v>
      </c>
    </row>
    <row r="6" spans="2:33" x14ac:dyDescent="0.25">
      <c r="B6" s="20">
        <v>12</v>
      </c>
      <c r="C6" s="57">
        <v>12740</v>
      </c>
      <c r="D6" s="57">
        <f>C6*(1+'Rhaniad y Ddeiliadaeth (De-ddn)'!C$109)+(C$44*(-(50-$B6)*('Rhaniad y Ddeiliadaeth (De-ddn)'!C$110/40)))</f>
        <v>12941.049500247387</v>
      </c>
      <c r="E6" s="57">
        <f>D6*(1+'Rhaniad y Ddeiliadaeth (De-ddn)'!D$109)+(D$44*(-(50-$B6)*('Rhaniad y Ddeiliadaeth (De-ddn)'!D$110/40)))</f>
        <v>13015.288995606799</v>
      </c>
      <c r="F6" s="57">
        <f>E6*(1+'Rhaniad y Ddeiliadaeth (De-ddn)'!E$109)+(E$44*(-(50-$B6)*('Rhaniad y Ddeiliadaeth (De-ddn)'!E$110/40)))</f>
        <v>13177.093230183178</v>
      </c>
      <c r="G6" s="57">
        <f>F6*(1+'Rhaniad y Ddeiliadaeth (De-ddn)'!F$109)+(F$44*(-(50-$B6)*('Rhaniad y Ddeiliadaeth (De-ddn)'!F$110/40)))</f>
        <v>13391.943252498044</v>
      </c>
      <c r="H6" s="58">
        <f>G6*(1+'Rhaniad y Ddeiliadaeth (De-ddn)'!G$109)+(G$44*(-(50-$B6)*('Rhaniad y Ddeiliadaeth (De-ddn)'!G$110/40)))</f>
        <v>13617.681312690131</v>
      </c>
      <c r="L6" s="62" t="str">
        <f t="shared" si="0"/>
        <v/>
      </c>
      <c r="M6" s="227"/>
      <c r="N6" s="14">
        <f t="shared" si="3"/>
        <v>1</v>
      </c>
      <c r="T6" s="1">
        <f t="shared" si="1"/>
        <v>12</v>
      </c>
      <c r="U6" s="4" t="str">
        <f t="shared" si="2"/>
        <v/>
      </c>
      <c r="V6" s="57" t="e">
        <f>IF($K$4=$V$3,M6,U6*(1+'Rhaniad y Ddeiliadaeth (De-ddn)'!C$109)+(U$44*(-(50-$B6)*('Rhaniad y Ddeiliadaeth (De-ddn)'!C$110/40))))</f>
        <v>#VALUE!</v>
      </c>
      <c r="W6" s="57" t="e">
        <f>V6*(1+'Rhaniad y Ddeiliadaeth (De-ddn)'!D$109)+(V$44*(-(50-$B6)*('Rhaniad y Ddeiliadaeth (De-ddn)'!D$110/40)))</f>
        <v>#VALUE!</v>
      </c>
      <c r="X6" s="57" t="e">
        <f>W6*(1+'Rhaniad y Ddeiliadaeth (De-ddn)'!E$109)+(W$44*(-(50-$B6)*('Rhaniad y Ddeiliadaeth (De-ddn)'!E$110/40)))</f>
        <v>#VALUE!</v>
      </c>
      <c r="Y6" s="57" t="e">
        <f>X6*(1+'Rhaniad y Ddeiliadaeth (De-ddn)'!F$109)+(X$44*(-(50-$B6)*('Rhaniad y Ddeiliadaeth (De-ddn)'!F$110/40)))</f>
        <v>#VALUE!</v>
      </c>
      <c r="Z6" s="57" t="e">
        <f>Y6*(1+'Rhaniad y Ddeiliadaeth (De-ddn)'!G$109)+(Y$44*(-(50-$B6)*('Rhaniad y Ddeiliadaeth (De-ddn)'!G$110/40)))</f>
        <v>#VALUE!</v>
      </c>
      <c r="AB6" s="1">
        <v>12</v>
      </c>
      <c r="AC6" s="4">
        <f>IF('Rhaniad y Ddeiliadaeth (Cymru)'!$D$8="Amcangyfrifon LlC",'Incwm (De-ddwyrain)'!D6,'Incwm (De-ddwyrain)'!V6)</f>
        <v>12941.049500247387</v>
      </c>
      <c r="AD6" s="4">
        <f>IF('Rhaniad y Ddeiliadaeth (Cymru)'!$D$8="Amcangyfrifon LlC",'Incwm (De-ddwyrain)'!E6,'Incwm (De-ddwyrain)'!W6)</f>
        <v>13015.288995606799</v>
      </c>
      <c r="AE6" s="4">
        <f>IF('Rhaniad y Ddeiliadaeth (Cymru)'!$D$8="Amcangyfrifon LlC",'Incwm (De-ddwyrain)'!F6,'Incwm (De-ddwyrain)'!X6)</f>
        <v>13177.093230183178</v>
      </c>
      <c r="AF6" s="4">
        <f>IF('Rhaniad y Ddeiliadaeth (Cymru)'!$D$8="Amcangyfrifon LlC",'Incwm (De-ddwyrain)'!G6,'Incwm (De-ddwyrain)'!Y6)</f>
        <v>13391.943252498044</v>
      </c>
      <c r="AG6" s="4">
        <f>IF('Rhaniad y Ddeiliadaeth (Cymru)'!$D$8="Amcangyfrifon LlC",'Incwm (De-ddwyrain)'!H6,'Incwm (De-ddwyrain)'!Z6)</f>
        <v>13617.681312690131</v>
      </c>
    </row>
    <row r="7" spans="2:33" x14ac:dyDescent="0.25">
      <c r="B7" s="20">
        <v>13</v>
      </c>
      <c r="C7" s="57">
        <v>12919.2</v>
      </c>
      <c r="D7" s="57">
        <f>C7*(1+'Rhaniad y Ddeiliadaeth (De-ddn)'!C$109)+(C$44*(-(50-$B7)*('Rhaniad y Ddeiliadaeth (De-ddn)'!C$110/40)))</f>
        <v>13133.159073635485</v>
      </c>
      <c r="E7" s="57">
        <f>D7*(1+'Rhaniad y Ddeiliadaeth (De-ddn)'!D$109)+(D$44*(-(50-$B7)*('Rhaniad y Ddeiliadaeth (De-ddn)'!D$110/40)))</f>
        <v>13219.140313101938</v>
      </c>
      <c r="F7" s="57">
        <f>E7*(1+'Rhaniad y Ddeiliadaeth (De-ddn)'!E$109)+(E$44*(-(50-$B7)*('Rhaniad y Ddeiliadaeth (De-ddn)'!E$110/40)))</f>
        <v>13394.608759555422</v>
      </c>
      <c r="G7" s="57">
        <f>F7*(1+'Rhaniad y Ddeiliadaeth (De-ddn)'!F$109)+(F$44*(-(50-$B7)*('Rhaniad y Ddeiliadaeth (De-ddn)'!F$110/40)))</f>
        <v>13624.73168110147</v>
      </c>
      <c r="H7" s="58">
        <f>G7*(1+'Rhaniad y Ddeiliadaeth (De-ddn)'!G$109)+(G$44*(-(50-$B7)*('Rhaniad y Ddeiliadaeth (De-ddn)'!G$110/40)))</f>
        <v>13866.80358299971</v>
      </c>
      <c r="J7" s="11" t="str">
        <f>IF(J4="","",IF(N85=1,"Mewnbwn y defnyddiwr yn anghyflawn",IF(N85=0,"Mewnbwn y defnyddiwr yn gyflawn","")))</f>
        <v/>
      </c>
      <c r="L7" s="62" t="str">
        <f t="shared" si="0"/>
        <v/>
      </c>
      <c r="M7" s="227"/>
      <c r="N7" s="14">
        <f t="shared" si="3"/>
        <v>1</v>
      </c>
      <c r="T7" s="1">
        <f t="shared" si="1"/>
        <v>13</v>
      </c>
      <c r="U7" s="4" t="str">
        <f t="shared" si="2"/>
        <v/>
      </c>
      <c r="V7" s="57" t="e">
        <f>IF($K$4=$V$3,M7,U7*(1+'Rhaniad y Ddeiliadaeth (De-ddn)'!C$109)+(U$44*(-(50-$B7)*('Rhaniad y Ddeiliadaeth (De-ddn)'!C$110/40))))</f>
        <v>#VALUE!</v>
      </c>
      <c r="W7" s="57" t="e">
        <f>V7*(1+'Rhaniad y Ddeiliadaeth (De-ddn)'!D$109)+(V$44*(-(50-$B7)*('Rhaniad y Ddeiliadaeth (De-ddn)'!D$110/40)))</f>
        <v>#VALUE!</v>
      </c>
      <c r="X7" s="57" t="e">
        <f>W7*(1+'Rhaniad y Ddeiliadaeth (De-ddn)'!E$109)+(W$44*(-(50-$B7)*('Rhaniad y Ddeiliadaeth (De-ddn)'!E$110/40)))</f>
        <v>#VALUE!</v>
      </c>
      <c r="Y7" s="57" t="e">
        <f>X7*(1+'Rhaniad y Ddeiliadaeth (De-ddn)'!F$109)+(X$44*(-(50-$B7)*('Rhaniad y Ddeiliadaeth (De-ddn)'!F$110/40)))</f>
        <v>#VALUE!</v>
      </c>
      <c r="Z7" s="57" t="e">
        <f>Y7*(1+'Rhaniad y Ddeiliadaeth (De-ddn)'!G$109)+(Y$44*(-(50-$B7)*('Rhaniad y Ddeiliadaeth (De-ddn)'!G$110/40)))</f>
        <v>#VALUE!</v>
      </c>
      <c r="AB7" s="1">
        <v>13</v>
      </c>
      <c r="AC7" s="4">
        <f>IF('Rhaniad y Ddeiliadaeth (Cymru)'!$D$8="Amcangyfrifon LlC",'Incwm (De-ddwyrain)'!D7,'Incwm (De-ddwyrain)'!V7)</f>
        <v>13133.159073635485</v>
      </c>
      <c r="AD7" s="4">
        <f>IF('Rhaniad y Ddeiliadaeth (Cymru)'!$D$8="Amcangyfrifon LlC",'Incwm (De-ddwyrain)'!E7,'Incwm (De-ddwyrain)'!W7)</f>
        <v>13219.140313101938</v>
      </c>
      <c r="AE7" s="4">
        <f>IF('Rhaniad y Ddeiliadaeth (Cymru)'!$D$8="Amcangyfrifon LlC",'Incwm (De-ddwyrain)'!F7,'Incwm (De-ddwyrain)'!X7)</f>
        <v>13394.608759555422</v>
      </c>
      <c r="AF7" s="4">
        <f>IF('Rhaniad y Ddeiliadaeth (Cymru)'!$D$8="Amcangyfrifon LlC",'Incwm (De-ddwyrain)'!G7,'Incwm (De-ddwyrain)'!Y7)</f>
        <v>13624.73168110147</v>
      </c>
      <c r="AG7" s="4">
        <f>IF('Rhaniad y Ddeiliadaeth (Cymru)'!$D$8="Amcangyfrifon LlC",'Incwm (De-ddwyrain)'!H7,'Incwm (De-ddwyrain)'!Z7)</f>
        <v>13866.80358299971</v>
      </c>
    </row>
    <row r="8" spans="2:33" x14ac:dyDescent="0.25">
      <c r="B8" s="20">
        <v>14</v>
      </c>
      <c r="C8" s="57">
        <v>13019.2</v>
      </c>
      <c r="D8" s="57">
        <f>C8*(1+'Rhaniad y Ddeiliadaeth (De-ddn)'!C$109)+(C$44*(-(50-$B8)*('Rhaniad y Ddeiliadaeth (De-ddn)'!C$110/40)))</f>
        <v>13243.266759901162</v>
      </c>
      <c r="E8" s="57">
        <f>D8*(1+'Rhaniad y Ddeiliadaeth (De-ddn)'!D$109)+(D$44*(-(50-$B8)*('Rhaniad y Ddeiliadaeth (De-ddn)'!D$110/40)))</f>
        <v>13338.881377006952</v>
      </c>
      <c r="F8" s="57">
        <f>E8*(1+'Rhaniad y Ddeiliadaeth (De-ddn)'!E$109)+(E$44*(-(50-$B8)*('Rhaniad y Ddeiliadaeth (De-ddn)'!E$110/40)))</f>
        <v>13525.25496571751</v>
      </c>
      <c r="G8" s="57">
        <f>F8*(1+'Rhaniad y Ddeiliadaeth (De-ddn)'!F$109)+(F$44*(-(50-$B8)*('Rhaniad y Ddeiliadaeth (De-ddn)'!F$110/40)))</f>
        <v>13767.42916358207</v>
      </c>
      <c r="H8" s="58">
        <f>G8*(1+'Rhaniad y Ddeiliadaeth (De-ddn)'!G$109)+(G$44*(-(50-$B8)*('Rhaniad y Ddeiliadaeth (De-ddn)'!G$110/40)))</f>
        <v>14022.405845498957</v>
      </c>
      <c r="L8" s="62" t="str">
        <f t="shared" si="0"/>
        <v/>
      </c>
      <c r="M8" s="227"/>
      <c r="N8" s="14">
        <f t="shared" si="3"/>
        <v>1</v>
      </c>
      <c r="T8" s="1">
        <f t="shared" si="1"/>
        <v>14</v>
      </c>
      <c r="U8" s="4" t="str">
        <f t="shared" si="2"/>
        <v/>
      </c>
      <c r="V8" s="57" t="e">
        <f>IF($K$4=$V$3,M8,U8*(1+'Rhaniad y Ddeiliadaeth (De-ddn)'!C$109)+(U$44*(-(50-$B8)*('Rhaniad y Ddeiliadaeth (De-ddn)'!C$110/40))))</f>
        <v>#VALUE!</v>
      </c>
      <c r="W8" s="57" t="e">
        <f>V8*(1+'Rhaniad y Ddeiliadaeth (De-ddn)'!D$109)+(V$44*(-(50-$B8)*('Rhaniad y Ddeiliadaeth (De-ddn)'!D$110/40)))</f>
        <v>#VALUE!</v>
      </c>
      <c r="X8" s="57" t="e">
        <f>W8*(1+'Rhaniad y Ddeiliadaeth (De-ddn)'!E$109)+(W$44*(-(50-$B8)*('Rhaniad y Ddeiliadaeth (De-ddn)'!E$110/40)))</f>
        <v>#VALUE!</v>
      </c>
      <c r="Y8" s="57" t="e">
        <f>X8*(1+'Rhaniad y Ddeiliadaeth (De-ddn)'!F$109)+(X$44*(-(50-$B8)*('Rhaniad y Ddeiliadaeth (De-ddn)'!F$110/40)))</f>
        <v>#VALUE!</v>
      </c>
      <c r="Z8" s="57" t="e">
        <f>Y8*(1+'Rhaniad y Ddeiliadaeth (De-ddn)'!G$109)+(Y$44*(-(50-$B8)*('Rhaniad y Ddeiliadaeth (De-ddn)'!G$110/40)))</f>
        <v>#VALUE!</v>
      </c>
      <c r="AB8" s="1">
        <v>14</v>
      </c>
      <c r="AC8" s="4">
        <f>IF('Rhaniad y Ddeiliadaeth (Cymru)'!$D$8="Amcangyfrifon LlC",'Incwm (De-ddwyrain)'!D8,'Incwm (De-ddwyrain)'!V8)</f>
        <v>13243.266759901162</v>
      </c>
      <c r="AD8" s="4">
        <f>IF('Rhaniad y Ddeiliadaeth (Cymru)'!$D$8="Amcangyfrifon LlC",'Incwm (De-ddwyrain)'!E8,'Incwm (De-ddwyrain)'!W8)</f>
        <v>13338.881377006952</v>
      </c>
      <c r="AE8" s="4">
        <f>IF('Rhaniad y Ddeiliadaeth (Cymru)'!$D$8="Amcangyfrifon LlC",'Incwm (De-ddwyrain)'!F8,'Incwm (De-ddwyrain)'!X8)</f>
        <v>13525.25496571751</v>
      </c>
      <c r="AF8" s="4">
        <f>IF('Rhaniad y Ddeiliadaeth (Cymru)'!$D$8="Amcangyfrifon LlC",'Incwm (De-ddwyrain)'!G8,'Incwm (De-ddwyrain)'!Y8)</f>
        <v>13767.42916358207</v>
      </c>
      <c r="AG8" s="4">
        <f>IF('Rhaniad y Ddeiliadaeth (Cymru)'!$D$8="Amcangyfrifon LlC",'Incwm (De-ddwyrain)'!H8,'Incwm (De-ddwyrain)'!Z8)</f>
        <v>14022.405845498957</v>
      </c>
    </row>
    <row r="9" spans="2:33" x14ac:dyDescent="0.25">
      <c r="B9" s="20">
        <v>15</v>
      </c>
      <c r="C9" s="57">
        <v>13258</v>
      </c>
      <c r="D9" s="57">
        <f>C9*(1+'Rhaniad y Ddeiliadaeth (De-ddn)'!C$109)+(C$44*(-(50-$B9)*('Rhaniad y Ddeiliadaeth (De-ddn)'!C$110/40)))</f>
        <v>13497.0848241036</v>
      </c>
      <c r="E9" s="57">
        <f>D9*(1+'Rhaniad y Ddeiliadaeth (De-ddn)'!D$109)+(D$44*(-(50-$B9)*('Rhaniad y Ddeiliadaeth (De-ddn)'!D$110/40)))</f>
        <v>13606.027784324957</v>
      </c>
      <c r="F9" s="57">
        <f>E9*(1+'Rhaniad y Ddeiliadaeth (De-ddn)'!E$109)+(E$44*(-(50-$B9)*('Rhaniad y Ddeiliadaeth (De-ddn)'!E$110/40)))</f>
        <v>13808.141854475169</v>
      </c>
      <c r="G9" s="57">
        <f>F9*(1+'Rhaniad y Ddeiliadaeth (De-ddn)'!F$109)+(F$44*(-(50-$B9)*('Rhaniad y Ddeiliadaeth (De-ddn)'!F$110/40)))</f>
        <v>14068.013304166807</v>
      </c>
      <c r="H9" s="58">
        <f>G9*(1+'Rhaniad y Ddeiliadaeth (De-ddn)'!G$109)+(G$44*(-(50-$B9)*('Rhaniad y Ddeiliadaeth (De-ddn)'!G$110/40)))</f>
        <v>14341.904283302159</v>
      </c>
      <c r="J9" s="420" t="str">
        <f>IF(J4="","Os hoffech ddefnyddio data eich hunain ar gyfer dosbarthiad incwm, newidwch eich dewislen.","")</f>
        <v>Os hoffech ddefnyddio data eich hunain ar gyfer dosbarthiad incwm, newidwch eich dewislen.</v>
      </c>
      <c r="L9" s="62" t="str">
        <f t="shared" si="0"/>
        <v/>
      </c>
      <c r="M9" s="227"/>
      <c r="N9" s="14">
        <f t="shared" si="3"/>
        <v>1</v>
      </c>
      <c r="T9" s="1">
        <f t="shared" si="1"/>
        <v>15</v>
      </c>
      <c r="U9" s="4" t="str">
        <f t="shared" si="2"/>
        <v/>
      </c>
      <c r="V9" s="57" t="e">
        <f>IF($K$4=$V$3,M9,U9*(1+'Rhaniad y Ddeiliadaeth (De-ddn)'!C$109)+(U$44*(-(50-$B9)*('Rhaniad y Ddeiliadaeth (De-ddn)'!C$110/40))))</f>
        <v>#VALUE!</v>
      </c>
      <c r="W9" s="57" t="e">
        <f>V9*(1+'Rhaniad y Ddeiliadaeth (De-ddn)'!D$109)+(V$44*(-(50-$B9)*('Rhaniad y Ddeiliadaeth (De-ddn)'!D$110/40)))</f>
        <v>#VALUE!</v>
      </c>
      <c r="X9" s="57" t="e">
        <f>W9*(1+'Rhaniad y Ddeiliadaeth (De-ddn)'!E$109)+(W$44*(-(50-$B9)*('Rhaniad y Ddeiliadaeth (De-ddn)'!E$110/40)))</f>
        <v>#VALUE!</v>
      </c>
      <c r="Y9" s="57" t="e">
        <f>X9*(1+'Rhaniad y Ddeiliadaeth (De-ddn)'!F$109)+(X$44*(-(50-$B9)*('Rhaniad y Ddeiliadaeth (De-ddn)'!F$110/40)))</f>
        <v>#VALUE!</v>
      </c>
      <c r="Z9" s="57" t="e">
        <f>Y9*(1+'Rhaniad y Ddeiliadaeth (De-ddn)'!G$109)+(Y$44*(-(50-$B9)*('Rhaniad y Ddeiliadaeth (De-ddn)'!G$110/40)))</f>
        <v>#VALUE!</v>
      </c>
      <c r="AB9" s="1">
        <v>15</v>
      </c>
      <c r="AC9" s="4">
        <f>IF('Rhaniad y Ddeiliadaeth (Cymru)'!$D$8="Amcangyfrifon LlC",'Incwm (De-ddwyrain)'!D9,'Incwm (De-ddwyrain)'!V9)</f>
        <v>13497.0848241036</v>
      </c>
      <c r="AD9" s="4">
        <f>IF('Rhaniad y Ddeiliadaeth (Cymru)'!$D$8="Amcangyfrifon LlC",'Incwm (De-ddwyrain)'!E9,'Incwm (De-ddwyrain)'!W9)</f>
        <v>13606.027784324957</v>
      </c>
      <c r="AE9" s="4">
        <f>IF('Rhaniad y Ddeiliadaeth (Cymru)'!$D$8="Amcangyfrifon LlC",'Incwm (De-ddwyrain)'!F9,'Incwm (De-ddwyrain)'!X9)</f>
        <v>13808.141854475169</v>
      </c>
      <c r="AF9" s="4">
        <f>IF('Rhaniad y Ddeiliadaeth (Cymru)'!$D$8="Amcangyfrifon LlC",'Incwm (De-ddwyrain)'!G9,'Incwm (De-ddwyrain)'!Y9)</f>
        <v>14068.013304166807</v>
      </c>
      <c r="AG9" s="4">
        <f>IF('Rhaniad y Ddeiliadaeth (Cymru)'!$D$8="Amcangyfrifon LlC",'Incwm (De-ddwyrain)'!H9,'Incwm (De-ddwyrain)'!Z9)</f>
        <v>14341.904283302159</v>
      </c>
    </row>
    <row r="10" spans="2:33" x14ac:dyDescent="0.25">
      <c r="B10" s="20">
        <v>16</v>
      </c>
      <c r="C10" s="57">
        <v>13646.2</v>
      </c>
      <c r="D10" s="57">
        <f>C10*(1+'Rhaniad y Ddeiliadaeth (De-ddn)'!C$109)+(C$44*(-(50-$B10)*('Rhaniad y Ddeiliadaeth (De-ddn)'!C$110/40)))</f>
        <v>13905.588266286963</v>
      </c>
      <c r="E10" s="57">
        <f>D10*(1+'Rhaniad y Ddeiliadaeth (De-ddn)'!D$109)+(D$44*(-(50-$B10)*('Rhaniad y Ddeiliadaeth (De-ddn)'!D$110/40)))</f>
        <v>14031.836715460689</v>
      </c>
      <c r="F10" s="57">
        <f>E10*(1+'Rhaniad y Ddeiliadaeth (De-ddn)'!E$109)+(E$44*(-(50-$B10)*('Rhaniad y Ddeiliadaeth (De-ddn)'!E$110/40)))</f>
        <v>14254.895875651981</v>
      </c>
      <c r="G10" s="57">
        <f>F10*(1+'Rhaniad y Ddeiliadaeth (De-ddn)'!F$109)+(F$44*(-(50-$B10)*('Rhaniad y Ddeiliadaeth (De-ddn)'!F$110/40)))</f>
        <v>14538.54172948323</v>
      </c>
      <c r="H10" s="58">
        <f>G10*(1+'Rhaniad y Ddeiliadaeth (De-ddn)'!G$109)+(G$44*(-(50-$B10)*('Rhaniad y Ddeiliadaeth (De-ddn)'!G$110/40)))</f>
        <v>14837.815463111208</v>
      </c>
      <c r="J10" s="420"/>
      <c r="L10" s="62" t="str">
        <f t="shared" si="0"/>
        <v/>
      </c>
      <c r="M10" s="227"/>
      <c r="N10" s="14">
        <f t="shared" si="3"/>
        <v>1</v>
      </c>
      <c r="T10" s="1">
        <f t="shared" si="1"/>
        <v>16</v>
      </c>
      <c r="U10" s="4" t="str">
        <f t="shared" si="2"/>
        <v/>
      </c>
      <c r="V10" s="57" t="e">
        <f>IF($K$4=$V$3,M10,U10*(1+'Rhaniad y Ddeiliadaeth (De-ddn)'!C$109)+(U$44*(-(50-$B10)*('Rhaniad y Ddeiliadaeth (De-ddn)'!C$110/40))))</f>
        <v>#VALUE!</v>
      </c>
      <c r="W10" s="57" t="e">
        <f>V10*(1+'Rhaniad y Ddeiliadaeth (De-ddn)'!D$109)+(V$44*(-(50-$B10)*('Rhaniad y Ddeiliadaeth (De-ddn)'!D$110/40)))</f>
        <v>#VALUE!</v>
      </c>
      <c r="X10" s="57" t="e">
        <f>W10*(1+'Rhaniad y Ddeiliadaeth (De-ddn)'!E$109)+(W$44*(-(50-$B10)*('Rhaniad y Ddeiliadaeth (De-ddn)'!E$110/40)))</f>
        <v>#VALUE!</v>
      </c>
      <c r="Y10" s="57" t="e">
        <f>X10*(1+'Rhaniad y Ddeiliadaeth (De-ddn)'!F$109)+(X$44*(-(50-$B10)*('Rhaniad y Ddeiliadaeth (De-ddn)'!F$110/40)))</f>
        <v>#VALUE!</v>
      </c>
      <c r="Z10" s="57" t="e">
        <f>Y10*(1+'Rhaniad y Ddeiliadaeth (De-ddn)'!G$109)+(Y$44*(-(50-$B10)*('Rhaniad y Ddeiliadaeth (De-ddn)'!G$110/40)))</f>
        <v>#VALUE!</v>
      </c>
      <c r="AB10" s="1">
        <v>16</v>
      </c>
      <c r="AC10" s="4">
        <f>IF('Rhaniad y Ddeiliadaeth (Cymru)'!$D$8="Amcangyfrifon LlC",'Incwm (De-ddwyrain)'!D10,'Incwm (De-ddwyrain)'!V10)</f>
        <v>13905.588266286963</v>
      </c>
      <c r="AD10" s="4">
        <f>IF('Rhaniad y Ddeiliadaeth (Cymru)'!$D$8="Amcangyfrifon LlC",'Incwm (De-ddwyrain)'!E10,'Incwm (De-ddwyrain)'!W10)</f>
        <v>14031.836715460689</v>
      </c>
      <c r="AE10" s="4">
        <f>IF('Rhaniad y Ddeiliadaeth (Cymru)'!$D$8="Amcangyfrifon LlC",'Incwm (De-ddwyrain)'!F10,'Incwm (De-ddwyrain)'!X10)</f>
        <v>14254.895875651981</v>
      </c>
      <c r="AF10" s="4">
        <f>IF('Rhaniad y Ddeiliadaeth (Cymru)'!$D$8="Amcangyfrifon LlC",'Incwm (De-ddwyrain)'!G10,'Incwm (De-ddwyrain)'!Y10)</f>
        <v>14538.54172948323</v>
      </c>
      <c r="AG10" s="4">
        <f>IF('Rhaniad y Ddeiliadaeth (Cymru)'!$D$8="Amcangyfrifon LlC",'Incwm (De-ddwyrain)'!H10,'Incwm (De-ddwyrain)'!Z10)</f>
        <v>14837.815463111208</v>
      </c>
    </row>
    <row r="11" spans="2:33" x14ac:dyDescent="0.25">
      <c r="B11" s="20">
        <v>17</v>
      </c>
      <c r="C11" s="57">
        <v>13977.5</v>
      </c>
      <c r="D11" s="57">
        <f>C11*(1+'Rhaniad y Ddeiliadaeth (De-ddn)'!C$109)+(C$44*(-(50-$B11)*('Rhaniad y Ddeiliadaeth (De-ddn)'!C$110/40)))</f>
        <v>14255.178736535154</v>
      </c>
      <c r="E11" s="57">
        <f>D11*(1+'Rhaniad y Ddeiliadaeth (De-ddn)'!D$109)+(D$44*(-(50-$B11)*('Rhaniad y Ddeiliadaeth (De-ddn)'!D$110/40)))</f>
        <v>14397.217951782306</v>
      </c>
      <c r="F11" s="57">
        <f>E11*(1+'Rhaniad y Ddeiliadaeth (De-ddn)'!E$109)+(E$44*(-(50-$B11)*('Rhaniad y Ddeiliadaeth (De-ddn)'!E$110/40)))</f>
        <v>14639.239991643721</v>
      </c>
      <c r="G11" s="57">
        <f>F11*(1+'Rhaniad y Ddeiliadaeth (De-ddn)'!F$109)+(F$44*(-(50-$B11)*('Rhaniad y Ddeiliadaeth (De-ddn)'!F$110/40)))</f>
        <v>14944.345725072528</v>
      </c>
      <c r="H11" s="58">
        <f>G11*(1+'Rhaniad y Ddeiliadaeth (De-ddn)'!G$109)+(G$44*(-(50-$B11)*('Rhaniad y Ddeiliadaeth (De-ddn)'!G$110/40)))</f>
        <v>15266.538657511072</v>
      </c>
      <c r="L11" s="62" t="str">
        <f t="shared" si="0"/>
        <v/>
      </c>
      <c r="M11" s="227"/>
      <c r="N11" s="14">
        <f t="shared" si="3"/>
        <v>1</v>
      </c>
      <c r="T11" s="1">
        <f t="shared" si="1"/>
        <v>17</v>
      </c>
      <c r="U11" s="4" t="str">
        <f t="shared" si="2"/>
        <v/>
      </c>
      <c r="V11" s="57" t="e">
        <f>IF($K$4=$V$3,M11,U11*(1+'Rhaniad y Ddeiliadaeth (De-ddn)'!C$109)+(U$44*(-(50-$B11)*('Rhaniad y Ddeiliadaeth (De-ddn)'!C$110/40))))</f>
        <v>#VALUE!</v>
      </c>
      <c r="W11" s="57" t="e">
        <f>V11*(1+'Rhaniad y Ddeiliadaeth (De-ddn)'!D$109)+(V$44*(-(50-$B11)*('Rhaniad y Ddeiliadaeth (De-ddn)'!D$110/40)))</f>
        <v>#VALUE!</v>
      </c>
      <c r="X11" s="57" t="e">
        <f>W11*(1+'Rhaniad y Ddeiliadaeth (De-ddn)'!E$109)+(W$44*(-(50-$B11)*('Rhaniad y Ddeiliadaeth (De-ddn)'!E$110/40)))</f>
        <v>#VALUE!</v>
      </c>
      <c r="Y11" s="57" t="e">
        <f>X11*(1+'Rhaniad y Ddeiliadaeth (De-ddn)'!F$109)+(X$44*(-(50-$B11)*('Rhaniad y Ddeiliadaeth (De-ddn)'!F$110/40)))</f>
        <v>#VALUE!</v>
      </c>
      <c r="Z11" s="57" t="e">
        <f>Y11*(1+'Rhaniad y Ddeiliadaeth (De-ddn)'!G$109)+(Y$44*(-(50-$B11)*('Rhaniad y Ddeiliadaeth (De-ddn)'!G$110/40)))</f>
        <v>#VALUE!</v>
      </c>
      <c r="AB11" s="1">
        <v>17</v>
      </c>
      <c r="AC11" s="4">
        <f>IF('Rhaniad y Ddeiliadaeth (Cymru)'!$D$8="Amcangyfrifon LlC",'Incwm (De-ddwyrain)'!D11,'Incwm (De-ddwyrain)'!V11)</f>
        <v>14255.178736535154</v>
      </c>
      <c r="AD11" s="4">
        <f>IF('Rhaniad y Ddeiliadaeth (Cymru)'!$D$8="Amcangyfrifon LlC",'Incwm (De-ddwyrain)'!E11,'Incwm (De-ddwyrain)'!W11)</f>
        <v>14397.217951782306</v>
      </c>
      <c r="AE11" s="4">
        <f>IF('Rhaniad y Ddeiliadaeth (Cymru)'!$D$8="Amcangyfrifon LlC",'Incwm (De-ddwyrain)'!F11,'Incwm (De-ddwyrain)'!X11)</f>
        <v>14639.239991643721</v>
      </c>
      <c r="AF11" s="4">
        <f>IF('Rhaniad y Ddeiliadaeth (Cymru)'!$D$8="Amcangyfrifon LlC",'Incwm (De-ddwyrain)'!G11,'Incwm (De-ddwyrain)'!Y11)</f>
        <v>14944.345725072528</v>
      </c>
      <c r="AG11" s="4">
        <f>IF('Rhaniad y Ddeiliadaeth (Cymru)'!$D$8="Amcangyfrifon LlC",'Incwm (De-ddwyrain)'!H11,'Incwm (De-ddwyrain)'!Z11)</f>
        <v>15266.538657511072</v>
      </c>
    </row>
    <row r="12" spans="2:33" x14ac:dyDescent="0.25">
      <c r="B12" s="20">
        <v>18</v>
      </c>
      <c r="C12" s="57">
        <v>14243</v>
      </c>
      <c r="D12" s="57">
        <f>C12*(1+'Rhaniad y Ddeiliadaeth (De-ddn)'!C$109)+(C$44*(-(50-$B12)*('Rhaniad y Ddeiliadaeth (De-ddn)'!C$110/40)))</f>
        <v>14536.641376320529</v>
      </c>
      <c r="E12" s="57">
        <f>D12*(1+'Rhaniad y Ddeiliadaeth (De-ddn)'!D$109)+(D$44*(-(50-$B12)*('Rhaniad y Ddeiliadaeth (De-ddn)'!D$110/40)))</f>
        <v>14692.719709742434</v>
      </c>
      <c r="F12" s="57">
        <f>E12*(1+'Rhaniad y Ddeiliadaeth (De-ddn)'!E$109)+(E$44*(-(50-$B12)*('Rhaniad y Ddeiliadaeth (De-ddn)'!E$110/40)))</f>
        <v>14951.412371938135</v>
      </c>
      <c r="G12" s="57">
        <f>F12*(1+'Rhaniad y Ddeiliadaeth (De-ddn)'!F$109)+(F$44*(-(50-$B12)*('Rhaniad y Ddeiliadaeth (De-ddn)'!F$110/40)))</f>
        <v>15275.301434615336</v>
      </c>
      <c r="H12" s="58">
        <f>G12*(1+'Rhaniad y Ddeiliadaeth (De-ddn)'!G$109)+(G$44*(-(50-$B12)*('Rhaniad y Ddeiliadaeth (De-ddn)'!G$110/40)))</f>
        <v>15617.564673704876</v>
      </c>
      <c r="L12" s="62" t="str">
        <f t="shared" si="0"/>
        <v/>
      </c>
      <c r="M12" s="227"/>
      <c r="N12" s="14">
        <f t="shared" si="3"/>
        <v>1</v>
      </c>
      <c r="T12" s="1">
        <f t="shared" si="1"/>
        <v>18</v>
      </c>
      <c r="U12" s="4" t="str">
        <f t="shared" si="2"/>
        <v/>
      </c>
      <c r="V12" s="57" t="e">
        <f>IF($K$4=$V$3,M12,U12*(1+'Rhaniad y Ddeiliadaeth (De-ddn)'!C$109)+(U$44*(-(50-$B12)*('Rhaniad y Ddeiliadaeth (De-ddn)'!C$110/40))))</f>
        <v>#VALUE!</v>
      </c>
      <c r="W12" s="57" t="e">
        <f>V12*(1+'Rhaniad y Ddeiliadaeth (De-ddn)'!D$109)+(V$44*(-(50-$B12)*('Rhaniad y Ddeiliadaeth (De-ddn)'!D$110/40)))</f>
        <v>#VALUE!</v>
      </c>
      <c r="X12" s="57" t="e">
        <f>W12*(1+'Rhaniad y Ddeiliadaeth (De-ddn)'!E$109)+(W$44*(-(50-$B12)*('Rhaniad y Ddeiliadaeth (De-ddn)'!E$110/40)))</f>
        <v>#VALUE!</v>
      </c>
      <c r="Y12" s="57" t="e">
        <f>X12*(1+'Rhaniad y Ddeiliadaeth (De-ddn)'!F$109)+(X$44*(-(50-$B12)*('Rhaniad y Ddeiliadaeth (De-ddn)'!F$110/40)))</f>
        <v>#VALUE!</v>
      </c>
      <c r="Z12" s="57" t="e">
        <f>Y12*(1+'Rhaniad y Ddeiliadaeth (De-ddn)'!G$109)+(Y$44*(-(50-$B12)*('Rhaniad y Ddeiliadaeth (De-ddn)'!G$110/40)))</f>
        <v>#VALUE!</v>
      </c>
      <c r="AB12" s="1">
        <v>18</v>
      </c>
      <c r="AC12" s="4">
        <f>IF('Rhaniad y Ddeiliadaeth (Cymru)'!$D$8="Amcangyfrifon LlC",'Incwm (De-ddwyrain)'!D12,'Incwm (De-ddwyrain)'!V12)</f>
        <v>14536.641376320529</v>
      </c>
      <c r="AD12" s="4">
        <f>IF('Rhaniad y Ddeiliadaeth (Cymru)'!$D$8="Amcangyfrifon LlC",'Incwm (De-ddwyrain)'!E12,'Incwm (De-ddwyrain)'!W12)</f>
        <v>14692.719709742434</v>
      </c>
      <c r="AE12" s="4">
        <f>IF('Rhaniad y Ddeiliadaeth (Cymru)'!$D$8="Amcangyfrifon LlC",'Incwm (De-ddwyrain)'!F12,'Incwm (De-ddwyrain)'!X12)</f>
        <v>14951.412371938135</v>
      </c>
      <c r="AF12" s="4">
        <f>IF('Rhaniad y Ddeiliadaeth (Cymru)'!$D$8="Amcangyfrifon LlC",'Incwm (De-ddwyrain)'!G12,'Incwm (De-ddwyrain)'!Y12)</f>
        <v>15275.301434615336</v>
      </c>
      <c r="AG12" s="4">
        <f>IF('Rhaniad y Ddeiliadaeth (Cymru)'!$D$8="Amcangyfrifon LlC",'Incwm (De-ddwyrain)'!H12,'Incwm (De-ddwyrain)'!Z12)</f>
        <v>15617.564673704876</v>
      </c>
    </row>
    <row r="13" spans="2:33" x14ac:dyDescent="0.25">
      <c r="B13" s="20">
        <v>19</v>
      </c>
      <c r="C13" s="57">
        <v>14720</v>
      </c>
      <c r="D13" s="57">
        <f>C13*(1+'Rhaniad y Ddeiliadaeth (De-ddn)'!C$109)+(C$44*(-(50-$B13)*('Rhaniad y Ddeiliadaeth (De-ddn)'!C$110/40)))</f>
        <v>15037.086328307814</v>
      </c>
      <c r="E13" s="57">
        <f>D13*(1+'Rhaniad y Ddeiliadaeth (De-ddn)'!D$109)+(D$44*(-(50-$B13)*('Rhaniad y Ddeiliadaeth (De-ddn)'!D$110/40)))</f>
        <v>15212.834076721636</v>
      </c>
      <c r="F13" s="57">
        <f>E13*(1+'Rhaniad y Ddeiliadaeth (De-ddn)'!E$109)+(E$44*(-(50-$B13)*('Rhaniad y Ddeiliadaeth (De-ddn)'!E$110/40)))</f>
        <v>15495.565331259666</v>
      </c>
      <c r="G13" s="57">
        <f>F13*(1+'Rhaniad y Ddeiliadaeth (De-ddn)'!F$109)+(F$44*(-(50-$B13)*('Rhaniad y Ddeiliadaeth (De-ddn)'!F$110/40)))</f>
        <v>15846.840920736138</v>
      </c>
      <c r="H13" s="58">
        <f>G13*(1+'Rhaniad y Ddeiliadaeth (De-ddn)'!G$109)+(G$44*(-(50-$B13)*('Rhaniad y Ddeiliadaeth (De-ddn)'!G$110/40)))</f>
        <v>16218.331619846718</v>
      </c>
      <c r="L13" s="62" t="str">
        <f t="shared" si="0"/>
        <v/>
      </c>
      <c r="M13" s="227"/>
      <c r="N13" s="14">
        <f t="shared" si="3"/>
        <v>1</v>
      </c>
      <c r="T13" s="1">
        <f t="shared" si="1"/>
        <v>19</v>
      </c>
      <c r="U13" s="4" t="str">
        <f t="shared" si="2"/>
        <v/>
      </c>
      <c r="V13" s="57" t="e">
        <f>IF($K$4=$V$3,M13,U13*(1+'Rhaniad y Ddeiliadaeth (De-ddn)'!C$109)+(U$44*(-(50-$B13)*('Rhaniad y Ddeiliadaeth (De-ddn)'!C$110/40))))</f>
        <v>#VALUE!</v>
      </c>
      <c r="W13" s="57" t="e">
        <f>V13*(1+'Rhaniad y Ddeiliadaeth (De-ddn)'!D$109)+(V$44*(-(50-$B13)*('Rhaniad y Ddeiliadaeth (De-ddn)'!D$110/40)))</f>
        <v>#VALUE!</v>
      </c>
      <c r="X13" s="57" t="e">
        <f>W13*(1+'Rhaniad y Ddeiliadaeth (De-ddn)'!E$109)+(W$44*(-(50-$B13)*('Rhaniad y Ddeiliadaeth (De-ddn)'!E$110/40)))</f>
        <v>#VALUE!</v>
      </c>
      <c r="Y13" s="57" t="e">
        <f>X13*(1+'Rhaniad y Ddeiliadaeth (De-ddn)'!F$109)+(X$44*(-(50-$B13)*('Rhaniad y Ddeiliadaeth (De-ddn)'!F$110/40)))</f>
        <v>#VALUE!</v>
      </c>
      <c r="Z13" s="57" t="e">
        <f>Y13*(1+'Rhaniad y Ddeiliadaeth (De-ddn)'!G$109)+(Y$44*(-(50-$B13)*('Rhaniad y Ddeiliadaeth (De-ddn)'!G$110/40)))</f>
        <v>#VALUE!</v>
      </c>
      <c r="AB13" s="1">
        <v>19</v>
      </c>
      <c r="AC13" s="4">
        <f>IF('Rhaniad y Ddeiliadaeth (Cymru)'!$D$8="Amcangyfrifon LlC",'Incwm (De-ddwyrain)'!D13,'Incwm (De-ddwyrain)'!V13)</f>
        <v>15037.086328307814</v>
      </c>
      <c r="AD13" s="4">
        <f>IF('Rhaniad y Ddeiliadaeth (Cymru)'!$D$8="Amcangyfrifon LlC",'Incwm (De-ddwyrain)'!E13,'Incwm (De-ddwyrain)'!W13)</f>
        <v>15212.834076721636</v>
      </c>
      <c r="AE13" s="4">
        <f>IF('Rhaniad y Ddeiliadaeth (Cymru)'!$D$8="Amcangyfrifon LlC",'Incwm (De-ddwyrain)'!F13,'Incwm (De-ddwyrain)'!X13)</f>
        <v>15495.565331259666</v>
      </c>
      <c r="AF13" s="4">
        <f>IF('Rhaniad y Ddeiliadaeth (Cymru)'!$D$8="Amcangyfrifon LlC",'Incwm (De-ddwyrain)'!G13,'Incwm (De-ddwyrain)'!Y13)</f>
        <v>15846.840920736138</v>
      </c>
      <c r="AG13" s="4">
        <f>IF('Rhaniad y Ddeiliadaeth (Cymru)'!$D$8="Amcangyfrifon LlC",'Incwm (De-ddwyrain)'!H13,'Incwm (De-ddwyrain)'!Z13)</f>
        <v>16218.331619846718</v>
      </c>
    </row>
    <row r="14" spans="2:33" x14ac:dyDescent="0.25">
      <c r="B14" s="20">
        <v>20</v>
      </c>
      <c r="C14" s="57">
        <v>14970.1</v>
      </c>
      <c r="D14" s="57">
        <f>C14*(1+'Rhaniad y Ddeiliadaeth (De-ddn)'!C$109)+(C$44*(-(50-$B14)*('Rhaniad y Ddeiliadaeth (De-ddn)'!C$110/40)))</f>
        <v>15302.604156708276</v>
      </c>
      <c r="E14" s="57">
        <f>D14*(1+'Rhaniad y Ddeiliadaeth (De-ddn)'!D$109)+(D$44*(-(50-$B14)*('Rhaniad y Ddeiliadaeth (De-ddn)'!D$110/40)))</f>
        <v>15491.981063150353</v>
      </c>
      <c r="F14" s="57">
        <f>E14*(1+'Rhaniad y Ddeiliadaeth (De-ddn)'!E$109)+(E$44*(-(50-$B14)*('Rhaniad y Ddeiliadaeth (De-ddn)'!E$110/40)))</f>
        <v>15790.846454263221</v>
      </c>
      <c r="G14" s="57">
        <f>F14*(1+'Rhaniad y Ddeiliadaeth (De-ddn)'!F$109)+(F$44*(-(50-$B14)*('Rhaniad y Ddeiliadaeth (De-ddn)'!F$110/40)))</f>
        <v>16160.278946310624</v>
      </c>
      <c r="H14" s="58">
        <f>G14*(1+'Rhaniad y Ddeiliadaeth (De-ddn)'!G$109)+(G$44*(-(50-$B14)*('Rhaniad y Ddeiliadaeth (De-ddn)'!G$110/40)))</f>
        <v>16551.17319007741</v>
      </c>
      <c r="L14" s="62" t="str">
        <f t="shared" si="0"/>
        <v/>
      </c>
      <c r="M14" s="227"/>
      <c r="N14" s="14">
        <f t="shared" si="3"/>
        <v>1</v>
      </c>
      <c r="T14" s="1">
        <f t="shared" si="1"/>
        <v>20</v>
      </c>
      <c r="U14" s="4" t="str">
        <f t="shared" si="2"/>
        <v/>
      </c>
      <c r="V14" s="57" t="e">
        <f>IF($K$4=$V$3,M14,U14*(1+'Rhaniad y Ddeiliadaeth (De-ddn)'!C$109)+(U$44*(-(50-$B14)*('Rhaniad y Ddeiliadaeth (De-ddn)'!C$110/40))))</f>
        <v>#VALUE!</v>
      </c>
      <c r="W14" s="57" t="e">
        <f>V14*(1+'Rhaniad y Ddeiliadaeth (De-ddn)'!D$109)+(V$44*(-(50-$B14)*('Rhaniad y Ddeiliadaeth (De-ddn)'!D$110/40)))</f>
        <v>#VALUE!</v>
      </c>
      <c r="X14" s="57" t="e">
        <f>W14*(1+'Rhaniad y Ddeiliadaeth (De-ddn)'!E$109)+(W$44*(-(50-$B14)*('Rhaniad y Ddeiliadaeth (De-ddn)'!E$110/40)))</f>
        <v>#VALUE!</v>
      </c>
      <c r="Y14" s="57" t="e">
        <f>X14*(1+'Rhaniad y Ddeiliadaeth (De-ddn)'!F$109)+(X$44*(-(50-$B14)*('Rhaniad y Ddeiliadaeth (De-ddn)'!F$110/40)))</f>
        <v>#VALUE!</v>
      </c>
      <c r="Z14" s="57" t="e">
        <f>Y14*(1+'Rhaniad y Ddeiliadaeth (De-ddn)'!G$109)+(Y$44*(-(50-$B14)*('Rhaniad y Ddeiliadaeth (De-ddn)'!G$110/40)))</f>
        <v>#VALUE!</v>
      </c>
      <c r="AB14" s="1">
        <v>20</v>
      </c>
      <c r="AC14" s="4">
        <f>IF('Rhaniad y Ddeiliadaeth (Cymru)'!$D$8="Amcangyfrifon LlC",'Incwm (De-ddwyrain)'!D14,'Incwm (De-ddwyrain)'!V14)</f>
        <v>15302.604156708276</v>
      </c>
      <c r="AD14" s="4">
        <f>IF('Rhaniad y Ddeiliadaeth (Cymru)'!$D$8="Amcangyfrifon LlC",'Incwm (De-ddwyrain)'!E14,'Incwm (De-ddwyrain)'!W14)</f>
        <v>15491.981063150353</v>
      </c>
      <c r="AE14" s="4">
        <f>IF('Rhaniad y Ddeiliadaeth (Cymru)'!$D$8="Amcangyfrifon LlC",'Incwm (De-ddwyrain)'!F14,'Incwm (De-ddwyrain)'!X14)</f>
        <v>15790.846454263221</v>
      </c>
      <c r="AF14" s="4">
        <f>IF('Rhaniad y Ddeiliadaeth (Cymru)'!$D$8="Amcangyfrifon LlC",'Incwm (De-ddwyrain)'!G14,'Incwm (De-ddwyrain)'!Y14)</f>
        <v>16160.278946310624</v>
      </c>
      <c r="AG14" s="4">
        <f>IF('Rhaniad y Ddeiliadaeth (Cymru)'!$D$8="Amcangyfrifon LlC",'Incwm (De-ddwyrain)'!H14,'Incwm (De-ddwyrain)'!Z14)</f>
        <v>16551.17319007741</v>
      </c>
    </row>
    <row r="15" spans="2:33" x14ac:dyDescent="0.25">
      <c r="B15" s="20">
        <v>21</v>
      </c>
      <c r="C15" s="57">
        <v>15043</v>
      </c>
      <c r="D15" s="57">
        <f>C15*(1+'Rhaniad y Ddeiliadaeth (De-ddn)'!C$109)+(C$44*(-(50-$B15)*('Rhaniad y Ddeiliadaeth (De-ddn)'!C$110/40)))</f>
        <v>15384.653116445956</v>
      </c>
      <c r="E15" s="57">
        <f>D15*(1+'Rhaniad y Ddeiliadaeth (De-ddn)'!D$109)+(D$44*(-(50-$B15)*('Rhaniad y Ddeiliadaeth (De-ddn)'!D$110/40)))</f>
        <v>15582.94197715269</v>
      </c>
      <c r="F15" s="57">
        <f>E15*(1+'Rhaniad y Ddeiliadaeth (De-ddn)'!E$109)+(E$44*(-(50-$B15)*('Rhaniad y Ddeiliadaeth (De-ddn)'!E$110/40)))</f>
        <v>15891.768434932947</v>
      </c>
      <c r="G15" s="57">
        <f>F15*(1+'Rhaniad y Ddeiliadaeth (De-ddn)'!F$109)+(F$44*(-(50-$B15)*('Rhaniad y Ddeiliadaeth (De-ddn)'!F$110/40)))</f>
        <v>16272.149855054759</v>
      </c>
      <c r="H15" s="58">
        <f>G15*(1+'Rhaniad y Ddeiliadaeth (De-ddn)'!G$109)+(G$44*(-(50-$B15)*('Rhaniad y Ddeiliadaeth (De-ddn)'!G$110/40)))</f>
        <v>16674.775550914292</v>
      </c>
      <c r="L15" s="62" t="str">
        <f t="shared" si="0"/>
        <v/>
      </c>
      <c r="M15" s="227"/>
      <c r="N15" s="14">
        <f t="shared" si="3"/>
        <v>1</v>
      </c>
      <c r="T15" s="1">
        <f t="shared" si="1"/>
        <v>21</v>
      </c>
      <c r="U15" s="4" t="str">
        <f t="shared" si="2"/>
        <v/>
      </c>
      <c r="V15" s="57" t="e">
        <f>IF($K$4=$V$3,M15,U15*(1+'Rhaniad y Ddeiliadaeth (De-ddn)'!C$109)+(U$44*(-(50-$B15)*('Rhaniad y Ddeiliadaeth (De-ddn)'!C$110/40))))</f>
        <v>#VALUE!</v>
      </c>
      <c r="W15" s="57" t="e">
        <f>V15*(1+'Rhaniad y Ddeiliadaeth (De-ddn)'!D$109)+(V$44*(-(50-$B15)*('Rhaniad y Ddeiliadaeth (De-ddn)'!D$110/40)))</f>
        <v>#VALUE!</v>
      </c>
      <c r="X15" s="57" t="e">
        <f>W15*(1+'Rhaniad y Ddeiliadaeth (De-ddn)'!E$109)+(W$44*(-(50-$B15)*('Rhaniad y Ddeiliadaeth (De-ddn)'!E$110/40)))</f>
        <v>#VALUE!</v>
      </c>
      <c r="Y15" s="57" t="e">
        <f>X15*(1+'Rhaniad y Ddeiliadaeth (De-ddn)'!F$109)+(X$44*(-(50-$B15)*('Rhaniad y Ddeiliadaeth (De-ddn)'!F$110/40)))</f>
        <v>#VALUE!</v>
      </c>
      <c r="Z15" s="57" t="e">
        <f>Y15*(1+'Rhaniad y Ddeiliadaeth (De-ddn)'!G$109)+(Y$44*(-(50-$B15)*('Rhaniad y Ddeiliadaeth (De-ddn)'!G$110/40)))</f>
        <v>#VALUE!</v>
      </c>
      <c r="AB15" s="1">
        <v>21</v>
      </c>
      <c r="AC15" s="4">
        <f>IF('Rhaniad y Ddeiliadaeth (Cymru)'!$D$8="Amcangyfrifon LlC",'Incwm (De-ddwyrain)'!D15,'Incwm (De-ddwyrain)'!V15)</f>
        <v>15384.653116445956</v>
      </c>
      <c r="AD15" s="4">
        <f>IF('Rhaniad y Ddeiliadaeth (Cymru)'!$D$8="Amcangyfrifon LlC",'Incwm (De-ddwyrain)'!E15,'Incwm (De-ddwyrain)'!W15)</f>
        <v>15582.94197715269</v>
      </c>
      <c r="AE15" s="4">
        <f>IF('Rhaniad y Ddeiliadaeth (Cymru)'!$D$8="Amcangyfrifon LlC",'Incwm (De-ddwyrain)'!F15,'Incwm (De-ddwyrain)'!X15)</f>
        <v>15891.768434932947</v>
      </c>
      <c r="AF15" s="4">
        <f>IF('Rhaniad y Ddeiliadaeth (Cymru)'!$D$8="Amcangyfrifon LlC",'Incwm (De-ddwyrain)'!G15,'Incwm (De-ddwyrain)'!Y15)</f>
        <v>16272.149855054759</v>
      </c>
      <c r="AG15" s="4">
        <f>IF('Rhaniad y Ddeiliadaeth (Cymru)'!$D$8="Amcangyfrifon LlC",'Incwm (De-ddwyrain)'!H15,'Incwm (De-ddwyrain)'!Z15)</f>
        <v>16674.775550914292</v>
      </c>
    </row>
    <row r="16" spans="2:33" x14ac:dyDescent="0.25">
      <c r="B16" s="20">
        <v>22</v>
      </c>
      <c r="C16" s="57">
        <v>15142</v>
      </c>
      <c r="D16" s="57">
        <f>C16*(1+'Rhaniad y Ddeiliadaeth (De-ddn)'!C$109)+(C$44*(-(50-$B16)*('Rhaniad y Ddeiliadaeth (De-ddn)'!C$110/40)))</f>
        <v>15493.725425348975</v>
      </c>
      <c r="E16" s="57">
        <f>D16*(1+'Rhaniad y Ddeiliadaeth (De-ddn)'!D$109)+(D$44*(-(50-$B16)*('Rhaniad y Ddeiliadaeth (De-ddn)'!D$110/40)))</f>
        <v>15701.621042906314</v>
      </c>
      <c r="F16" s="57">
        <f>E16*(1+'Rhaniad y Ddeiliadaeth (De-ddn)'!E$109)+(E$44*(-(50-$B16)*('Rhaniad y Ddeiliadaeth (De-ddn)'!E$110/40)))</f>
        <v>16021.317806206018</v>
      </c>
      <c r="G16" s="57">
        <f>F16*(1+'Rhaniad y Ddeiliadaeth (De-ddn)'!F$109)+(F$44*(-(50-$B16)*('Rhaniad y Ddeiliadaeth (De-ddn)'!F$110/40)))</f>
        <v>16413.709825589362</v>
      </c>
      <c r="H16" s="58">
        <f>G16*(1+'Rhaniad y Ddeiliadaeth (De-ddn)'!G$109)+(G$44*(-(50-$B16)*('Rhaniad y Ddeiliadaeth (De-ddn)'!G$110/40)))</f>
        <v>16829.197005234109</v>
      </c>
      <c r="L16" s="62" t="str">
        <f t="shared" si="0"/>
        <v/>
      </c>
      <c r="M16" s="227"/>
      <c r="N16" s="14">
        <f t="shared" si="3"/>
        <v>1</v>
      </c>
      <c r="T16" s="1">
        <f t="shared" si="1"/>
        <v>22</v>
      </c>
      <c r="U16" s="4" t="str">
        <f t="shared" si="2"/>
        <v/>
      </c>
      <c r="V16" s="57" t="e">
        <f>IF($K$4=$V$3,M16,U16*(1+'Rhaniad y Ddeiliadaeth (De-ddn)'!C$109)+(U$44*(-(50-$B16)*('Rhaniad y Ddeiliadaeth (De-ddn)'!C$110/40))))</f>
        <v>#VALUE!</v>
      </c>
      <c r="W16" s="57" t="e">
        <f>V16*(1+'Rhaniad y Ddeiliadaeth (De-ddn)'!D$109)+(V$44*(-(50-$B16)*('Rhaniad y Ddeiliadaeth (De-ddn)'!D$110/40)))</f>
        <v>#VALUE!</v>
      </c>
      <c r="X16" s="57" t="e">
        <f>W16*(1+'Rhaniad y Ddeiliadaeth (De-ddn)'!E$109)+(W$44*(-(50-$B16)*('Rhaniad y Ddeiliadaeth (De-ddn)'!E$110/40)))</f>
        <v>#VALUE!</v>
      </c>
      <c r="Y16" s="57" t="e">
        <f>X16*(1+'Rhaniad y Ddeiliadaeth (De-ddn)'!F$109)+(X$44*(-(50-$B16)*('Rhaniad y Ddeiliadaeth (De-ddn)'!F$110/40)))</f>
        <v>#VALUE!</v>
      </c>
      <c r="Z16" s="57" t="e">
        <f>Y16*(1+'Rhaniad y Ddeiliadaeth (De-ddn)'!G$109)+(Y$44*(-(50-$B16)*('Rhaniad y Ddeiliadaeth (De-ddn)'!G$110/40)))</f>
        <v>#VALUE!</v>
      </c>
      <c r="AB16" s="1">
        <v>22</v>
      </c>
      <c r="AC16" s="4">
        <f>IF('Rhaniad y Ddeiliadaeth (Cymru)'!$D$8="Amcangyfrifon LlC",'Incwm (De-ddwyrain)'!D16,'Incwm (De-ddwyrain)'!V16)</f>
        <v>15493.725425348975</v>
      </c>
      <c r="AD16" s="4">
        <f>IF('Rhaniad y Ddeiliadaeth (Cymru)'!$D$8="Amcangyfrifon LlC",'Incwm (De-ddwyrain)'!E16,'Incwm (De-ddwyrain)'!W16)</f>
        <v>15701.621042906314</v>
      </c>
      <c r="AE16" s="4">
        <f>IF('Rhaniad y Ddeiliadaeth (Cymru)'!$D$8="Amcangyfrifon LlC",'Incwm (De-ddwyrain)'!F16,'Incwm (De-ddwyrain)'!X16)</f>
        <v>16021.317806206018</v>
      </c>
      <c r="AF16" s="4">
        <f>IF('Rhaniad y Ddeiliadaeth (Cymru)'!$D$8="Amcangyfrifon LlC",'Incwm (De-ddwyrain)'!G16,'Incwm (De-ddwyrain)'!Y16)</f>
        <v>16413.709825589362</v>
      </c>
      <c r="AG16" s="4">
        <f>IF('Rhaniad y Ddeiliadaeth (Cymru)'!$D$8="Amcangyfrifon LlC",'Incwm (De-ddwyrain)'!H16,'Incwm (De-ddwyrain)'!Z16)</f>
        <v>16829.197005234109</v>
      </c>
    </row>
    <row r="17" spans="2:33" x14ac:dyDescent="0.25">
      <c r="B17" s="20">
        <v>23</v>
      </c>
      <c r="C17" s="57">
        <v>15480.88</v>
      </c>
      <c r="D17" s="57">
        <f>C17*(1+'Rhaniad y Ddeiliadaeth (De-ddn)'!C$109)+(C$44*(-(50-$B17)*('Rhaniad y Ddeiliadaeth (De-ddn)'!C$110/40)))</f>
        <v>15851.164056006104</v>
      </c>
      <c r="E17" s="57">
        <f>D17*(1+'Rhaniad y Ddeiliadaeth (De-ddn)'!D$109)+(D$44*(-(50-$B17)*('Rhaniad y Ddeiliadaeth (De-ddn)'!D$110/40)))</f>
        <v>16075.052225215468</v>
      </c>
      <c r="F17" s="57">
        <f>E17*(1+'Rhaniad y Ddeiliadaeth (De-ddn)'!E$109)+(E$44*(-(50-$B17)*('Rhaniad y Ddeiliadaeth (De-ddn)'!E$110/40)))</f>
        <v>16413.975930656503</v>
      </c>
      <c r="G17" s="57">
        <f>F17*(1+'Rhaniad y Ddeiliadaeth (De-ddn)'!F$109)+(F$44*(-(50-$B17)*('Rhaniad y Ddeiliadaeth (De-ddn)'!F$110/40)))</f>
        <v>16828.136161729297</v>
      </c>
      <c r="H17" s="58">
        <f>G17*(1+'Rhaniad y Ddeiliadaeth (De-ddn)'!G$109)+(G$44*(-(50-$B17)*('Rhaniad y Ddeiliadaeth (De-ddn)'!G$110/40)))</f>
        <v>17266.870725633995</v>
      </c>
      <c r="L17" s="62" t="str">
        <f t="shared" si="0"/>
        <v/>
      </c>
      <c r="M17" s="227"/>
      <c r="N17" s="14">
        <f t="shared" si="3"/>
        <v>1</v>
      </c>
      <c r="T17" s="1">
        <f t="shared" si="1"/>
        <v>23</v>
      </c>
      <c r="U17" s="4" t="str">
        <f t="shared" si="2"/>
        <v/>
      </c>
      <c r="V17" s="57" t="e">
        <f>IF($K$4=$V$3,M17,U17*(1+'Rhaniad y Ddeiliadaeth (De-ddn)'!C$109)+(U$44*(-(50-$B17)*('Rhaniad y Ddeiliadaeth (De-ddn)'!C$110/40))))</f>
        <v>#VALUE!</v>
      </c>
      <c r="W17" s="57" t="e">
        <f>V17*(1+'Rhaniad y Ddeiliadaeth (De-ddn)'!D$109)+(V$44*(-(50-$B17)*('Rhaniad y Ddeiliadaeth (De-ddn)'!D$110/40)))</f>
        <v>#VALUE!</v>
      </c>
      <c r="X17" s="57" t="e">
        <f>W17*(1+'Rhaniad y Ddeiliadaeth (De-ddn)'!E$109)+(W$44*(-(50-$B17)*('Rhaniad y Ddeiliadaeth (De-ddn)'!E$110/40)))</f>
        <v>#VALUE!</v>
      </c>
      <c r="Y17" s="57" t="e">
        <f>X17*(1+'Rhaniad y Ddeiliadaeth (De-ddn)'!F$109)+(X$44*(-(50-$B17)*('Rhaniad y Ddeiliadaeth (De-ddn)'!F$110/40)))</f>
        <v>#VALUE!</v>
      </c>
      <c r="Z17" s="57" t="e">
        <f>Y17*(1+'Rhaniad y Ddeiliadaeth (De-ddn)'!G$109)+(Y$44*(-(50-$B17)*('Rhaniad y Ddeiliadaeth (De-ddn)'!G$110/40)))</f>
        <v>#VALUE!</v>
      </c>
      <c r="AB17" s="1">
        <v>23</v>
      </c>
      <c r="AC17" s="4">
        <f>IF('Rhaniad y Ddeiliadaeth (Cymru)'!$D$8="Amcangyfrifon LlC",'Incwm (De-ddwyrain)'!D17,'Incwm (De-ddwyrain)'!V17)</f>
        <v>15851.164056006104</v>
      </c>
      <c r="AD17" s="4">
        <f>IF('Rhaniad y Ddeiliadaeth (Cymru)'!$D$8="Amcangyfrifon LlC",'Incwm (De-ddwyrain)'!E17,'Incwm (De-ddwyrain)'!W17)</f>
        <v>16075.052225215468</v>
      </c>
      <c r="AE17" s="4">
        <f>IF('Rhaniad y Ddeiliadaeth (Cymru)'!$D$8="Amcangyfrifon LlC",'Incwm (De-ddwyrain)'!F17,'Incwm (De-ddwyrain)'!X17)</f>
        <v>16413.975930656503</v>
      </c>
      <c r="AF17" s="4">
        <f>IF('Rhaniad y Ddeiliadaeth (Cymru)'!$D$8="Amcangyfrifon LlC",'Incwm (De-ddwyrain)'!G17,'Incwm (De-ddwyrain)'!Y17)</f>
        <v>16828.136161729297</v>
      </c>
      <c r="AG17" s="4">
        <f>IF('Rhaniad y Ddeiliadaeth (Cymru)'!$D$8="Amcangyfrifon LlC",'Incwm (De-ddwyrain)'!H17,'Incwm (De-ddwyrain)'!Z17)</f>
        <v>17266.870725633995</v>
      </c>
    </row>
    <row r="18" spans="2:33" x14ac:dyDescent="0.25">
      <c r="B18" s="20">
        <v>24</v>
      </c>
      <c r="C18" s="57">
        <v>15710.1</v>
      </c>
      <c r="D18" s="57">
        <f>C18*(1+'Rhaniad y Ddeiliadaeth (De-ddn)'!C$109)+(C$44*(-(50-$B18)*('Rhaniad y Ddeiliadaeth (De-ddn)'!C$110/40)))</f>
        <v>16095.063205074293</v>
      </c>
      <c r="E18" s="57">
        <f>D18*(1+'Rhaniad y Ddeiliadaeth (De-ddn)'!D$109)+(D$44*(-(50-$B18)*('Rhaniad y Ddeiliadaeth (De-ddn)'!D$110/40)))</f>
        <v>16332.024690243155</v>
      </c>
      <c r="F18" s="57">
        <f>E18*(1+'Rhaniad y Ddeiliadaeth (De-ddn)'!E$109)+(E$44*(-(50-$B18)*('Rhaniad y Ddeiliadaeth (De-ddn)'!E$110/40)))</f>
        <v>16686.355141177384</v>
      </c>
      <c r="G18" s="57">
        <f>F18*(1+'Rhaniad y Ddeiliadaeth (De-ddn)'!F$109)+(F$44*(-(50-$B18)*('Rhaniad y Ddeiliadaeth (De-ddn)'!F$110/40)))</f>
        <v>17117.822937871406</v>
      </c>
      <c r="H18" s="58">
        <f>G18*(1+'Rhaniad y Ddeiliadaeth (De-ddn)'!G$109)+(G$44*(-(50-$B18)*('Rhaniad y Ddeiliadaeth (De-ddn)'!G$110/40)))</f>
        <v>17575.057021078333</v>
      </c>
      <c r="L18" s="62" t="str">
        <f t="shared" si="0"/>
        <v/>
      </c>
      <c r="M18" s="227"/>
      <c r="N18" s="14">
        <f t="shared" si="3"/>
        <v>1</v>
      </c>
      <c r="T18" s="1">
        <f t="shared" si="1"/>
        <v>24</v>
      </c>
      <c r="U18" s="4" t="str">
        <f t="shared" si="2"/>
        <v/>
      </c>
      <c r="V18" s="57" t="e">
        <f>IF($K$4=$V$3,M18,U18*(1+'Rhaniad y Ddeiliadaeth (De-ddn)'!C$109)+(U$44*(-(50-$B18)*('Rhaniad y Ddeiliadaeth (De-ddn)'!C$110/40))))</f>
        <v>#VALUE!</v>
      </c>
      <c r="W18" s="57" t="e">
        <f>V18*(1+'Rhaniad y Ddeiliadaeth (De-ddn)'!D$109)+(V$44*(-(50-$B18)*('Rhaniad y Ddeiliadaeth (De-ddn)'!D$110/40)))</f>
        <v>#VALUE!</v>
      </c>
      <c r="X18" s="57" t="e">
        <f>W18*(1+'Rhaniad y Ddeiliadaeth (De-ddn)'!E$109)+(W$44*(-(50-$B18)*('Rhaniad y Ddeiliadaeth (De-ddn)'!E$110/40)))</f>
        <v>#VALUE!</v>
      </c>
      <c r="Y18" s="57" t="e">
        <f>X18*(1+'Rhaniad y Ddeiliadaeth (De-ddn)'!F$109)+(X$44*(-(50-$B18)*('Rhaniad y Ddeiliadaeth (De-ddn)'!F$110/40)))</f>
        <v>#VALUE!</v>
      </c>
      <c r="Z18" s="57" t="e">
        <f>Y18*(1+'Rhaniad y Ddeiliadaeth (De-ddn)'!G$109)+(Y$44*(-(50-$B18)*('Rhaniad y Ddeiliadaeth (De-ddn)'!G$110/40)))</f>
        <v>#VALUE!</v>
      </c>
      <c r="AB18" s="1">
        <v>24</v>
      </c>
      <c r="AC18" s="4">
        <f>IF('Rhaniad y Ddeiliadaeth (Cymru)'!$D$8="Amcangyfrifon LlC",'Incwm (De-ddwyrain)'!D18,'Incwm (De-ddwyrain)'!V18)</f>
        <v>16095.063205074293</v>
      </c>
      <c r="AD18" s="4">
        <f>IF('Rhaniad y Ddeiliadaeth (Cymru)'!$D$8="Amcangyfrifon LlC",'Incwm (De-ddwyrain)'!E18,'Incwm (De-ddwyrain)'!W18)</f>
        <v>16332.024690243155</v>
      </c>
      <c r="AE18" s="4">
        <f>IF('Rhaniad y Ddeiliadaeth (Cymru)'!$D$8="Amcangyfrifon LlC",'Incwm (De-ddwyrain)'!F18,'Incwm (De-ddwyrain)'!X18)</f>
        <v>16686.355141177384</v>
      </c>
      <c r="AF18" s="4">
        <f>IF('Rhaniad y Ddeiliadaeth (Cymru)'!$D$8="Amcangyfrifon LlC",'Incwm (De-ddwyrain)'!G18,'Incwm (De-ddwyrain)'!Y18)</f>
        <v>17117.822937871406</v>
      </c>
      <c r="AG18" s="4">
        <f>IF('Rhaniad y Ddeiliadaeth (Cymru)'!$D$8="Amcangyfrifon LlC",'Incwm (De-ddwyrain)'!H18,'Incwm (De-ddwyrain)'!Z18)</f>
        <v>17575.057021078333</v>
      </c>
    </row>
    <row r="19" spans="2:33" x14ac:dyDescent="0.25">
      <c r="B19" s="20">
        <v>25</v>
      </c>
      <c r="C19" s="57">
        <v>15981.2</v>
      </c>
      <c r="D19" s="57">
        <f>C19*(1+'Rhaniad y Ddeiliadaeth (De-ddn)'!C$109)+(C$44*(-(50-$B19)*('Rhaniad y Ddeiliadaeth (De-ddn)'!C$110/40)))</f>
        <v>16382.323958090545</v>
      </c>
      <c r="E19" s="57">
        <f>D19*(1+'Rhaniad y Ddeiliadaeth (De-ddn)'!D$109)+(D$44*(-(50-$B19)*('Rhaniad y Ddeiliadaeth (De-ddn)'!D$110/40)))</f>
        <v>16633.473637851068</v>
      </c>
      <c r="F19" s="57">
        <f>E19*(1+'Rhaniad y Ddeiliadaeth (De-ddn)'!E$109)+(E$44*(-(50-$B19)*('Rhaniad y Ddeiliadaeth (De-ddn)'!E$110/40)))</f>
        <v>17004.669796850292</v>
      </c>
      <c r="G19" s="57">
        <f>F19*(1+'Rhaniad y Ddeiliadaeth (De-ddn)'!F$109)+(F$44*(-(50-$B19)*('Rhaniad y Ddeiliadaeth (De-ddn)'!F$110/40)))</f>
        <v>17455.148714311788</v>
      </c>
      <c r="H19" s="58">
        <f>G19*(1+'Rhaniad y Ddeiliadaeth (De-ddn)'!G$109)+(G$44*(-(50-$B19)*('Rhaniad y Ddeiliadaeth (De-ddn)'!G$110/40)))</f>
        <v>17932.695563076908</v>
      </c>
      <c r="L19" s="62" t="str">
        <f t="shared" si="0"/>
        <v/>
      </c>
      <c r="M19" s="227"/>
      <c r="N19" s="14">
        <f t="shared" si="3"/>
        <v>1</v>
      </c>
      <c r="T19" s="1">
        <f t="shared" si="1"/>
        <v>25</v>
      </c>
      <c r="U19" s="4" t="str">
        <f t="shared" si="2"/>
        <v/>
      </c>
      <c r="V19" s="57" t="e">
        <f>IF($K$4=$V$3,M19,U19*(1+'Rhaniad y Ddeiliadaeth (De-ddn)'!C$109)+(U$44*(-(50-$B19)*('Rhaniad y Ddeiliadaeth (De-ddn)'!C$110/40))))</f>
        <v>#VALUE!</v>
      </c>
      <c r="W19" s="57" t="e">
        <f>V19*(1+'Rhaniad y Ddeiliadaeth (De-ddn)'!D$109)+(V$44*(-(50-$B19)*('Rhaniad y Ddeiliadaeth (De-ddn)'!D$110/40)))</f>
        <v>#VALUE!</v>
      </c>
      <c r="X19" s="57" t="e">
        <f>W19*(1+'Rhaniad y Ddeiliadaeth (De-ddn)'!E$109)+(W$44*(-(50-$B19)*('Rhaniad y Ddeiliadaeth (De-ddn)'!E$110/40)))</f>
        <v>#VALUE!</v>
      </c>
      <c r="Y19" s="57" t="e">
        <f>X19*(1+'Rhaniad y Ddeiliadaeth (De-ddn)'!F$109)+(X$44*(-(50-$B19)*('Rhaniad y Ddeiliadaeth (De-ddn)'!F$110/40)))</f>
        <v>#VALUE!</v>
      </c>
      <c r="Z19" s="57" t="e">
        <f>Y19*(1+'Rhaniad y Ddeiliadaeth (De-ddn)'!G$109)+(Y$44*(-(50-$B19)*('Rhaniad y Ddeiliadaeth (De-ddn)'!G$110/40)))</f>
        <v>#VALUE!</v>
      </c>
      <c r="AB19" s="1">
        <v>25</v>
      </c>
      <c r="AC19" s="4">
        <f>IF('Rhaniad y Ddeiliadaeth (Cymru)'!$D$8="Amcangyfrifon LlC",'Incwm (De-ddwyrain)'!D19,'Incwm (De-ddwyrain)'!V19)</f>
        <v>16382.323958090545</v>
      </c>
      <c r="AD19" s="4">
        <f>IF('Rhaniad y Ddeiliadaeth (Cymru)'!$D$8="Amcangyfrifon LlC",'Incwm (De-ddwyrain)'!E19,'Incwm (De-ddwyrain)'!W19)</f>
        <v>16633.473637851068</v>
      </c>
      <c r="AE19" s="4">
        <f>IF('Rhaniad y Ddeiliadaeth (Cymru)'!$D$8="Amcangyfrifon LlC",'Incwm (De-ddwyrain)'!F19,'Incwm (De-ddwyrain)'!X19)</f>
        <v>17004.669796850292</v>
      </c>
      <c r="AF19" s="4">
        <f>IF('Rhaniad y Ddeiliadaeth (Cymru)'!$D$8="Amcangyfrifon LlC",'Incwm (De-ddwyrain)'!G19,'Incwm (De-ddwyrain)'!Y19)</f>
        <v>17455.148714311788</v>
      </c>
      <c r="AG19" s="4">
        <f>IF('Rhaniad y Ddeiliadaeth (Cymru)'!$D$8="Amcangyfrifon LlC",'Incwm (De-ddwyrain)'!H19,'Incwm (De-ddwyrain)'!Z19)</f>
        <v>17932.695563076908</v>
      </c>
    </row>
    <row r="20" spans="2:33" x14ac:dyDescent="0.25">
      <c r="B20" s="20">
        <v>26</v>
      </c>
      <c r="C20" s="57">
        <v>16261.39</v>
      </c>
      <c r="D20" s="57">
        <f>C20*(1+'Rhaniad y Ddeiliadaeth (De-ddn)'!C$109)+(C$44*(-(50-$B20)*('Rhaniad y Ddeiliadaeth (De-ddn)'!C$110/40)))</f>
        <v>16678.996291333347</v>
      </c>
      <c r="E20" s="57">
        <f>D20*(1+'Rhaniad y Ddeiliadaeth (De-ddn)'!D$109)+(D$44*(-(50-$B20)*('Rhaniad y Ddeiliadaeth (De-ddn)'!D$110/40)))</f>
        <v>16944.57614865512</v>
      </c>
      <c r="F20" s="57">
        <f>E20*(1+'Rhaniad y Ddeiliadaeth (De-ddn)'!E$109)+(E$44*(-(50-$B20)*('Rhaniad y Ddeiliadaeth (De-ddn)'!E$110/40)))</f>
        <v>17332.954681664371</v>
      </c>
      <c r="G20" s="57">
        <f>F20*(1+'Rhaniad y Ddeiliadaeth (De-ddn)'!F$109)+(F$44*(-(50-$B20)*('Rhaniad y Ddeiliadaeth (De-ddn)'!F$110/40)))</f>
        <v>17802.814474341267</v>
      </c>
      <c r="H20" s="58">
        <f>G20*(1+'Rhaniad y Ddeiliadaeth (De-ddn)'!G$109)+(G$44*(-(50-$B20)*('Rhaniad y Ddeiliadaeth (De-ddn)'!G$110/40)))</f>
        <v>18301.067651426445</v>
      </c>
      <c r="L20" s="62" t="str">
        <f t="shared" si="0"/>
        <v/>
      </c>
      <c r="M20" s="227"/>
      <c r="N20" s="14">
        <f t="shared" si="3"/>
        <v>1</v>
      </c>
      <c r="T20" s="1">
        <f t="shared" si="1"/>
        <v>26</v>
      </c>
      <c r="U20" s="4" t="str">
        <f t="shared" si="2"/>
        <v/>
      </c>
      <c r="V20" s="57" t="e">
        <f>IF($K$4=$V$3,M20,U20*(1+'Rhaniad y Ddeiliadaeth (De-ddn)'!C$109)+(U$44*(-(50-$B20)*('Rhaniad y Ddeiliadaeth (De-ddn)'!C$110/40))))</f>
        <v>#VALUE!</v>
      </c>
      <c r="W20" s="57" t="e">
        <f>V20*(1+'Rhaniad y Ddeiliadaeth (De-ddn)'!D$109)+(V$44*(-(50-$B20)*('Rhaniad y Ddeiliadaeth (De-ddn)'!D$110/40)))</f>
        <v>#VALUE!</v>
      </c>
      <c r="X20" s="57" t="e">
        <f>W20*(1+'Rhaniad y Ddeiliadaeth (De-ddn)'!E$109)+(W$44*(-(50-$B20)*('Rhaniad y Ddeiliadaeth (De-ddn)'!E$110/40)))</f>
        <v>#VALUE!</v>
      </c>
      <c r="Y20" s="57" t="e">
        <f>X20*(1+'Rhaniad y Ddeiliadaeth (De-ddn)'!F$109)+(X$44*(-(50-$B20)*('Rhaniad y Ddeiliadaeth (De-ddn)'!F$110/40)))</f>
        <v>#VALUE!</v>
      </c>
      <c r="Z20" s="57" t="e">
        <f>Y20*(1+'Rhaniad y Ddeiliadaeth (De-ddn)'!G$109)+(Y$44*(-(50-$B20)*('Rhaniad y Ddeiliadaeth (De-ddn)'!G$110/40)))</f>
        <v>#VALUE!</v>
      </c>
      <c r="AB20" s="1">
        <v>26</v>
      </c>
      <c r="AC20" s="4">
        <f>IF('Rhaniad y Ddeiliadaeth (Cymru)'!$D$8="Amcangyfrifon LlC",'Incwm (De-ddwyrain)'!D20,'Incwm (De-ddwyrain)'!V20)</f>
        <v>16678.996291333347</v>
      </c>
      <c r="AD20" s="4">
        <f>IF('Rhaniad y Ddeiliadaeth (Cymru)'!$D$8="Amcangyfrifon LlC",'Incwm (De-ddwyrain)'!E20,'Incwm (De-ddwyrain)'!W20)</f>
        <v>16944.57614865512</v>
      </c>
      <c r="AE20" s="4">
        <f>IF('Rhaniad y Ddeiliadaeth (Cymru)'!$D$8="Amcangyfrifon LlC",'Incwm (De-ddwyrain)'!F20,'Incwm (De-ddwyrain)'!X20)</f>
        <v>17332.954681664371</v>
      </c>
      <c r="AF20" s="4">
        <f>IF('Rhaniad y Ddeiliadaeth (Cymru)'!$D$8="Amcangyfrifon LlC",'Incwm (De-ddwyrain)'!G20,'Incwm (De-ddwyrain)'!Y20)</f>
        <v>17802.814474341267</v>
      </c>
      <c r="AG20" s="4">
        <f>IF('Rhaniad y Ddeiliadaeth (Cymru)'!$D$8="Amcangyfrifon LlC",'Incwm (De-ddwyrain)'!H20,'Incwm (De-ddwyrain)'!Z20)</f>
        <v>18301.067651426445</v>
      </c>
    </row>
    <row r="21" spans="2:33" x14ac:dyDescent="0.25">
      <c r="B21" s="20">
        <v>27</v>
      </c>
      <c r="C21" s="57">
        <v>16589.788400000001</v>
      </c>
      <c r="D21" s="57">
        <f>C21*(1+'Rhaniad y Ddeiliadaeth (De-ddn)'!C$109)+(C$44*(-(50-$B21)*('Rhaniad y Ddeiliadaeth (De-ddn)'!C$110/40)))</f>
        <v>17025.582510626056</v>
      </c>
      <c r="E21" s="57">
        <f>D21*(1+'Rhaniad y Ddeiliadaeth (De-ddn)'!D$109)+(D$44*(-(50-$B21)*('Rhaniad y Ddeiliadaeth (De-ddn)'!D$110/40)))</f>
        <v>17306.875891140666</v>
      </c>
      <c r="F21" s="57">
        <f>E21*(1+'Rhaniad y Ddeiliadaeth (De-ddn)'!E$109)+(E$44*(-(50-$B21)*('Rhaniad y Ddeiliadaeth (De-ddn)'!E$110/40)))</f>
        <v>17714.116221542139</v>
      </c>
      <c r="G21" s="57">
        <f>F21*(1+'Rhaniad y Ddeiliadaeth (De-ddn)'!F$109)+(F$44*(-(50-$B21)*('Rhaniad y Ddeiliadaeth (De-ddn)'!F$110/40)))</f>
        <v>18205.317865268065</v>
      </c>
      <c r="H21" s="58">
        <f>G21*(1+'Rhaniad y Ddeiliadaeth (De-ddn)'!G$109)+(G$44*(-(50-$B21)*('Rhaniad y Ddeiliadaeth (De-ddn)'!G$110/40)))</f>
        <v>18726.364612812893</v>
      </c>
      <c r="L21" s="62" t="str">
        <f t="shared" si="0"/>
        <v/>
      </c>
      <c r="M21" s="227"/>
      <c r="N21" s="14">
        <f t="shared" si="3"/>
        <v>1</v>
      </c>
      <c r="T21" s="1">
        <f t="shared" si="1"/>
        <v>27</v>
      </c>
      <c r="U21" s="4" t="str">
        <f t="shared" si="2"/>
        <v/>
      </c>
      <c r="V21" s="57" t="e">
        <f>IF($K$4=$V$3,M21,U21*(1+'Rhaniad y Ddeiliadaeth (De-ddn)'!C$109)+(U$44*(-(50-$B21)*('Rhaniad y Ddeiliadaeth (De-ddn)'!C$110/40))))</f>
        <v>#VALUE!</v>
      </c>
      <c r="W21" s="57" t="e">
        <f>V21*(1+'Rhaniad y Ddeiliadaeth (De-ddn)'!D$109)+(V$44*(-(50-$B21)*('Rhaniad y Ddeiliadaeth (De-ddn)'!D$110/40)))</f>
        <v>#VALUE!</v>
      </c>
      <c r="X21" s="57" t="e">
        <f>W21*(1+'Rhaniad y Ddeiliadaeth (De-ddn)'!E$109)+(W$44*(-(50-$B21)*('Rhaniad y Ddeiliadaeth (De-ddn)'!E$110/40)))</f>
        <v>#VALUE!</v>
      </c>
      <c r="Y21" s="57" t="e">
        <f>X21*(1+'Rhaniad y Ddeiliadaeth (De-ddn)'!F$109)+(X$44*(-(50-$B21)*('Rhaniad y Ddeiliadaeth (De-ddn)'!F$110/40)))</f>
        <v>#VALUE!</v>
      </c>
      <c r="Z21" s="57" t="e">
        <f>Y21*(1+'Rhaniad y Ddeiliadaeth (De-ddn)'!G$109)+(Y$44*(-(50-$B21)*('Rhaniad y Ddeiliadaeth (De-ddn)'!G$110/40)))</f>
        <v>#VALUE!</v>
      </c>
      <c r="AB21" s="1">
        <v>27</v>
      </c>
      <c r="AC21" s="4">
        <f>IF('Rhaniad y Ddeiliadaeth (Cymru)'!$D$8="Amcangyfrifon LlC",'Incwm (De-ddwyrain)'!D21,'Incwm (De-ddwyrain)'!V21)</f>
        <v>17025.582510626056</v>
      </c>
      <c r="AD21" s="4">
        <f>IF('Rhaniad y Ddeiliadaeth (Cymru)'!$D$8="Amcangyfrifon LlC",'Incwm (De-ddwyrain)'!E21,'Incwm (De-ddwyrain)'!W21)</f>
        <v>17306.875891140666</v>
      </c>
      <c r="AE21" s="4">
        <f>IF('Rhaniad y Ddeiliadaeth (Cymru)'!$D$8="Amcangyfrifon LlC",'Incwm (De-ddwyrain)'!F21,'Incwm (De-ddwyrain)'!X21)</f>
        <v>17714.116221542139</v>
      </c>
      <c r="AF21" s="4">
        <f>IF('Rhaniad y Ddeiliadaeth (Cymru)'!$D$8="Amcangyfrifon LlC",'Incwm (De-ddwyrain)'!G21,'Incwm (De-ddwyrain)'!Y21)</f>
        <v>18205.317865268065</v>
      </c>
      <c r="AG21" s="4">
        <f>IF('Rhaniad y Ddeiliadaeth (Cymru)'!$D$8="Amcangyfrifon LlC",'Incwm (De-ddwyrain)'!H21,'Incwm (De-ddwyrain)'!Z21)</f>
        <v>18726.364612812893</v>
      </c>
    </row>
    <row r="22" spans="2:33" x14ac:dyDescent="0.25">
      <c r="B22" s="20">
        <v>28</v>
      </c>
      <c r="C22" s="57">
        <v>16892</v>
      </c>
      <c r="D22" s="57">
        <f>C22*(1+'Rhaniad y Ddeiliadaeth (De-ddn)'!C$109)+(C$44*(-(50-$B22)*('Rhaniad y Ddeiliadaeth (De-ddn)'!C$110/40)))</f>
        <v>17345.055509998343</v>
      </c>
      <c r="E22" s="57">
        <f>D22*(1+'Rhaniad y Ddeiliadaeth (De-ddn)'!D$109)+(D$44*(-(50-$B22)*('Rhaniad y Ddeiliadaeth (De-ddn)'!D$110/40)))</f>
        <v>17641.36530043538</v>
      </c>
      <c r="F22" s="57">
        <f>E22*(1+'Rhaniad y Ddeiliadaeth (De-ddn)'!E$109)+(E$44*(-(50-$B22)*('Rhaniad y Ddeiliadaeth (De-ddn)'!E$110/40)))</f>
        <v>18066.555165548198</v>
      </c>
      <c r="G22" s="57">
        <f>F22*(1+'Rhaniad y Ddeiliadaeth (De-ddn)'!F$109)+(F$44*(-(50-$B22)*('Rhaniad y Ddeiliadaeth (De-ddn)'!F$110/40)))</f>
        <v>18578.033458367481</v>
      </c>
      <c r="H22" s="58">
        <f>G22*(1+'Rhaniad y Ddeiliadaeth (De-ddn)'!G$109)+(G$44*(-(50-$B22)*('Rhaniad y Ddeiliadaeth (De-ddn)'!G$110/40)))</f>
        <v>19120.739986566427</v>
      </c>
      <c r="L22" s="62" t="str">
        <f t="shared" si="0"/>
        <v/>
      </c>
      <c r="M22" s="227"/>
      <c r="N22" s="14">
        <f t="shared" si="3"/>
        <v>1</v>
      </c>
      <c r="T22" s="1">
        <f t="shared" si="1"/>
        <v>28</v>
      </c>
      <c r="U22" s="4" t="str">
        <f t="shared" si="2"/>
        <v/>
      </c>
      <c r="V22" s="57" t="e">
        <f>IF($K$4=$V$3,M22,U22*(1+'Rhaniad y Ddeiliadaeth (De-ddn)'!C$109)+(U$44*(-(50-$B22)*('Rhaniad y Ddeiliadaeth (De-ddn)'!C$110/40))))</f>
        <v>#VALUE!</v>
      </c>
      <c r="W22" s="57" t="e">
        <f>V22*(1+'Rhaniad y Ddeiliadaeth (De-ddn)'!D$109)+(V$44*(-(50-$B22)*('Rhaniad y Ddeiliadaeth (De-ddn)'!D$110/40)))</f>
        <v>#VALUE!</v>
      </c>
      <c r="X22" s="57" t="e">
        <f>W22*(1+'Rhaniad y Ddeiliadaeth (De-ddn)'!E$109)+(W$44*(-(50-$B22)*('Rhaniad y Ddeiliadaeth (De-ddn)'!E$110/40)))</f>
        <v>#VALUE!</v>
      </c>
      <c r="Y22" s="57" t="e">
        <f>X22*(1+'Rhaniad y Ddeiliadaeth (De-ddn)'!F$109)+(X$44*(-(50-$B22)*('Rhaniad y Ddeiliadaeth (De-ddn)'!F$110/40)))</f>
        <v>#VALUE!</v>
      </c>
      <c r="Z22" s="57" t="e">
        <f>Y22*(1+'Rhaniad y Ddeiliadaeth (De-ddn)'!G$109)+(Y$44*(-(50-$B22)*('Rhaniad y Ddeiliadaeth (De-ddn)'!G$110/40)))</f>
        <v>#VALUE!</v>
      </c>
      <c r="AB22" s="1">
        <v>28</v>
      </c>
      <c r="AC22" s="4">
        <f>IF('Rhaniad y Ddeiliadaeth (Cymru)'!$D$8="Amcangyfrifon LlC",'Incwm (De-ddwyrain)'!D22,'Incwm (De-ddwyrain)'!V22)</f>
        <v>17345.055509998343</v>
      </c>
      <c r="AD22" s="4">
        <f>IF('Rhaniad y Ddeiliadaeth (Cymru)'!$D$8="Amcangyfrifon LlC",'Incwm (De-ddwyrain)'!E22,'Incwm (De-ddwyrain)'!W22)</f>
        <v>17641.36530043538</v>
      </c>
      <c r="AE22" s="4">
        <f>IF('Rhaniad y Ddeiliadaeth (Cymru)'!$D$8="Amcangyfrifon LlC",'Incwm (De-ddwyrain)'!F22,'Incwm (De-ddwyrain)'!X22)</f>
        <v>18066.555165548198</v>
      </c>
      <c r="AF22" s="4">
        <f>IF('Rhaniad y Ddeiliadaeth (Cymru)'!$D$8="Amcangyfrifon LlC",'Incwm (De-ddwyrain)'!G22,'Incwm (De-ddwyrain)'!Y22)</f>
        <v>18578.033458367481</v>
      </c>
      <c r="AG22" s="4">
        <f>IF('Rhaniad y Ddeiliadaeth (Cymru)'!$D$8="Amcangyfrifon LlC",'Incwm (De-ddwyrain)'!H22,'Incwm (De-ddwyrain)'!Z22)</f>
        <v>19120.739986566427</v>
      </c>
    </row>
    <row r="23" spans="2:33" x14ac:dyDescent="0.25">
      <c r="B23" s="20">
        <v>29</v>
      </c>
      <c r="C23" s="57">
        <v>17340</v>
      </c>
      <c r="D23" s="57">
        <f>C23*(1+'Rhaniad y Ddeiliadaeth (De-ddn)'!C$109)+(C$44*(-(50-$B23)*('Rhaniad y Ddeiliadaeth (De-ddn)'!C$110/40)))</f>
        <v>17815.474518468582</v>
      </c>
      <c r="E23" s="57">
        <f>D23*(1+'Rhaniad y Ddeiliadaeth (De-ddn)'!D$109)+(D$44*(-(50-$B23)*('Rhaniad y Ddeiliadaeth (De-ddn)'!D$110/40)))</f>
        <v>18130.681721024259</v>
      </c>
      <c r="F23" s="57">
        <f>E23*(1+'Rhaniad y Ddeiliadaeth (De-ddn)'!E$109)+(E$44*(-(50-$B23)*('Rhaniad y Ddeiliadaeth (De-ddn)'!E$110/40)))</f>
        <v>18578.899913088229</v>
      </c>
      <c r="G23" s="57">
        <f>F23*(1+'Rhaniad y Ddeiliadaeth (De-ddn)'!F$109)+(F$44*(-(50-$B23)*('Rhaniad y Ddeiliadaeth (De-ddn)'!F$110/40)))</f>
        <v>19116.585098054416</v>
      </c>
      <c r="H23" s="58">
        <f>G23*(1+'Rhaniad y Ddeiliadaeth (De-ddn)'!G$109)+(G$44*(-(50-$B23)*('Rhaniad y Ddeiliadaeth (De-ddn)'!G$110/40)))</f>
        <v>19687.263495504983</v>
      </c>
      <c r="L23" s="62" t="str">
        <f t="shared" si="0"/>
        <v/>
      </c>
      <c r="M23" s="227"/>
      <c r="N23" s="14">
        <f t="shared" si="3"/>
        <v>1</v>
      </c>
      <c r="T23" s="1">
        <f t="shared" si="1"/>
        <v>29</v>
      </c>
      <c r="U23" s="4" t="str">
        <f t="shared" si="2"/>
        <v/>
      </c>
      <c r="V23" s="57" t="e">
        <f>IF($K$4=$V$3,M23,U23*(1+'Rhaniad y Ddeiliadaeth (De-ddn)'!C$109)+(U$44*(-(50-$B23)*('Rhaniad y Ddeiliadaeth (De-ddn)'!C$110/40))))</f>
        <v>#VALUE!</v>
      </c>
      <c r="W23" s="57" t="e">
        <f>V23*(1+'Rhaniad y Ddeiliadaeth (De-ddn)'!D$109)+(V$44*(-(50-$B23)*('Rhaniad y Ddeiliadaeth (De-ddn)'!D$110/40)))</f>
        <v>#VALUE!</v>
      </c>
      <c r="X23" s="57" t="e">
        <f>W23*(1+'Rhaniad y Ddeiliadaeth (De-ddn)'!E$109)+(W$44*(-(50-$B23)*('Rhaniad y Ddeiliadaeth (De-ddn)'!E$110/40)))</f>
        <v>#VALUE!</v>
      </c>
      <c r="Y23" s="57" t="e">
        <f>X23*(1+'Rhaniad y Ddeiliadaeth (De-ddn)'!F$109)+(X$44*(-(50-$B23)*('Rhaniad y Ddeiliadaeth (De-ddn)'!F$110/40)))</f>
        <v>#VALUE!</v>
      </c>
      <c r="Z23" s="57" t="e">
        <f>Y23*(1+'Rhaniad y Ddeiliadaeth (De-ddn)'!G$109)+(Y$44*(-(50-$B23)*('Rhaniad y Ddeiliadaeth (De-ddn)'!G$110/40)))</f>
        <v>#VALUE!</v>
      </c>
      <c r="AB23" s="1">
        <v>29</v>
      </c>
      <c r="AC23" s="4">
        <f>IF('Rhaniad y Ddeiliadaeth (Cymru)'!$D$8="Amcangyfrifon LlC",'Incwm (De-ddwyrain)'!D23,'Incwm (De-ddwyrain)'!V23)</f>
        <v>17815.474518468582</v>
      </c>
      <c r="AD23" s="4">
        <f>IF('Rhaniad y Ddeiliadaeth (Cymru)'!$D$8="Amcangyfrifon LlC",'Incwm (De-ddwyrain)'!E23,'Incwm (De-ddwyrain)'!W23)</f>
        <v>18130.681721024259</v>
      </c>
      <c r="AE23" s="4">
        <f>IF('Rhaniad y Ddeiliadaeth (Cymru)'!$D$8="Amcangyfrifon LlC",'Incwm (De-ddwyrain)'!F23,'Incwm (De-ddwyrain)'!X23)</f>
        <v>18578.899913088229</v>
      </c>
      <c r="AF23" s="4">
        <f>IF('Rhaniad y Ddeiliadaeth (Cymru)'!$D$8="Amcangyfrifon LlC",'Incwm (De-ddwyrain)'!G23,'Incwm (De-ddwyrain)'!Y23)</f>
        <v>19116.585098054416</v>
      </c>
      <c r="AG23" s="4">
        <f>IF('Rhaniad y Ddeiliadaeth (Cymru)'!$D$8="Amcangyfrifon LlC",'Incwm (De-ddwyrain)'!H23,'Incwm (De-ddwyrain)'!Z23)</f>
        <v>19687.263495504983</v>
      </c>
    </row>
    <row r="24" spans="2:33" x14ac:dyDescent="0.25">
      <c r="B24" s="20">
        <v>30</v>
      </c>
      <c r="C24" s="57">
        <v>17659.75</v>
      </c>
      <c r="D24" s="57">
        <f>C24*(1+'Rhaniad y Ddeiliadaeth (De-ddn)'!C$109)+(C$44*(-(50-$B24)*('Rhaniad y Ddeiliadaeth (De-ddn)'!C$110/40)))</f>
        <v>18153.106380178084</v>
      </c>
      <c r="E24" s="57">
        <f>D24*(1+'Rhaniad y Ddeiliadaeth (De-ddn)'!D$109)+(D$44*(-(50-$B24)*('Rhaniad y Ddeiliadaeth (De-ddn)'!D$110/40)))</f>
        <v>18483.796878697314</v>
      </c>
      <c r="F24" s="57">
        <f>E24*(1+'Rhaniad y Ddeiliadaeth (De-ddn)'!E$109)+(E$44*(-(50-$B24)*('Rhaniad y Ddeiliadaeth (De-ddn)'!E$110/40)))</f>
        <v>18950.57558611182</v>
      </c>
      <c r="G24" s="57">
        <f>F24*(1+'Rhaniad y Ddeiliadaeth (De-ddn)'!F$109)+(F$44*(-(50-$B24)*('Rhaniad y Ddeiliadaeth (De-ddn)'!F$110/40)))</f>
        <v>19509.250830667464</v>
      </c>
      <c r="H24" s="58">
        <f>G24*(1+'Rhaniad y Ddeiliadaeth (De-ddn)'!G$109)+(G$44*(-(50-$B24)*('Rhaniad y Ddeiliadaeth (De-ddn)'!G$110/40)))</f>
        <v>20102.348355432503</v>
      </c>
      <c r="L24" s="62" t="str">
        <f t="shared" si="0"/>
        <v/>
      </c>
      <c r="M24" s="227"/>
      <c r="N24" s="14">
        <f t="shared" si="3"/>
        <v>1</v>
      </c>
      <c r="T24" s="1">
        <f t="shared" si="1"/>
        <v>30</v>
      </c>
      <c r="U24" s="4" t="str">
        <f t="shared" si="2"/>
        <v/>
      </c>
      <c r="V24" s="57" t="e">
        <f>IF($K$4=$V$3,M24,U24*(1+'Rhaniad y Ddeiliadaeth (De-ddn)'!C$109)+(U$44*(-(50-$B24)*('Rhaniad y Ddeiliadaeth (De-ddn)'!C$110/40))))</f>
        <v>#VALUE!</v>
      </c>
      <c r="W24" s="57" t="e">
        <f>V24*(1+'Rhaniad y Ddeiliadaeth (De-ddn)'!D$109)+(V$44*(-(50-$B24)*('Rhaniad y Ddeiliadaeth (De-ddn)'!D$110/40)))</f>
        <v>#VALUE!</v>
      </c>
      <c r="X24" s="57" t="e">
        <f>W24*(1+'Rhaniad y Ddeiliadaeth (De-ddn)'!E$109)+(W$44*(-(50-$B24)*('Rhaniad y Ddeiliadaeth (De-ddn)'!E$110/40)))</f>
        <v>#VALUE!</v>
      </c>
      <c r="Y24" s="57" t="e">
        <f>X24*(1+'Rhaniad y Ddeiliadaeth (De-ddn)'!F$109)+(X$44*(-(50-$B24)*('Rhaniad y Ddeiliadaeth (De-ddn)'!F$110/40)))</f>
        <v>#VALUE!</v>
      </c>
      <c r="Z24" s="57" t="e">
        <f>Y24*(1+'Rhaniad y Ddeiliadaeth (De-ddn)'!G$109)+(Y$44*(-(50-$B24)*('Rhaniad y Ddeiliadaeth (De-ddn)'!G$110/40)))</f>
        <v>#VALUE!</v>
      </c>
      <c r="AB24" s="1">
        <v>30</v>
      </c>
      <c r="AC24" s="4">
        <f>IF('Rhaniad y Ddeiliadaeth (Cymru)'!$D$8="Amcangyfrifon LlC",'Incwm (De-ddwyrain)'!D24,'Incwm (De-ddwyrain)'!V24)</f>
        <v>18153.106380178084</v>
      </c>
      <c r="AD24" s="4">
        <f>IF('Rhaniad y Ddeiliadaeth (Cymru)'!$D$8="Amcangyfrifon LlC",'Incwm (De-ddwyrain)'!E24,'Incwm (De-ddwyrain)'!W24)</f>
        <v>18483.796878697314</v>
      </c>
      <c r="AE24" s="4">
        <f>IF('Rhaniad y Ddeiliadaeth (Cymru)'!$D$8="Amcangyfrifon LlC",'Incwm (De-ddwyrain)'!F24,'Incwm (De-ddwyrain)'!X24)</f>
        <v>18950.57558611182</v>
      </c>
      <c r="AF24" s="4">
        <f>IF('Rhaniad y Ddeiliadaeth (Cymru)'!$D$8="Amcangyfrifon LlC",'Incwm (De-ddwyrain)'!G24,'Incwm (De-ddwyrain)'!Y24)</f>
        <v>19509.250830667464</v>
      </c>
      <c r="AG24" s="4">
        <f>IF('Rhaniad y Ddeiliadaeth (Cymru)'!$D$8="Amcangyfrifon LlC",'Incwm (De-ddwyrain)'!H24,'Incwm (De-ddwyrain)'!Z24)</f>
        <v>20102.348355432503</v>
      </c>
    </row>
    <row r="25" spans="2:33" x14ac:dyDescent="0.25">
      <c r="B25" s="20">
        <v>31</v>
      </c>
      <c r="C25" s="57">
        <v>18086.25</v>
      </c>
      <c r="D25" s="57">
        <f>C25*(1+'Rhaniad y Ddeiliadaeth (De-ddn)'!C$109)+(C$44*(-(50-$B25)*('Rhaniad y Ddeiliadaeth (De-ddn)'!C$110/40)))</f>
        <v>18601.264775351203</v>
      </c>
      <c r="E25" s="57">
        <f>D25*(1+'Rhaniad y Ddeiliadaeth (De-ddn)'!D$109)+(D$44*(-(50-$B25)*('Rhaniad y Ddeiliadaeth (De-ddn)'!D$110/40)))</f>
        <v>18950.280339031302</v>
      </c>
      <c r="F25" s="57">
        <f>E25*(1+'Rhaniad y Ddeiliadaeth (De-ddn)'!E$109)+(E$44*(-(50-$B25)*('Rhaniad y Ddeiliadaeth (De-ddn)'!E$110/40)))</f>
        <v>19439.33838353799</v>
      </c>
      <c r="G25" s="57">
        <f>F25*(1+'Rhaniad y Ddeiliadaeth (De-ddn)'!F$109)+(F$44*(-(50-$B25)*('Rhaniad y Ddeiliadaeth (De-ddn)'!F$110/40)))</f>
        <v>20023.345963515509</v>
      </c>
      <c r="H25" s="58">
        <f>G25*(1+'Rhaniad y Ddeiliadaeth (De-ddn)'!G$109)+(G$44*(-(50-$B25)*('Rhaniad y Ddeiliadaeth (De-ddn)'!G$110/40)))</f>
        <v>20643.48448851347</v>
      </c>
      <c r="L25" s="62" t="str">
        <f t="shared" si="0"/>
        <v/>
      </c>
      <c r="M25" s="227"/>
      <c r="N25" s="14">
        <f t="shared" si="3"/>
        <v>1</v>
      </c>
      <c r="T25" s="1">
        <f t="shared" si="1"/>
        <v>31</v>
      </c>
      <c r="U25" s="4" t="str">
        <f t="shared" si="2"/>
        <v/>
      </c>
      <c r="V25" s="57" t="e">
        <f>IF($K$4=$V$3,M25,U25*(1+'Rhaniad y Ddeiliadaeth (De-ddn)'!C$109)+(U$44*(-(50-$B25)*('Rhaniad y Ddeiliadaeth (De-ddn)'!C$110/40))))</f>
        <v>#VALUE!</v>
      </c>
      <c r="W25" s="57" t="e">
        <f>V25*(1+'Rhaniad y Ddeiliadaeth (De-ddn)'!D$109)+(V$44*(-(50-$B25)*('Rhaniad y Ddeiliadaeth (De-ddn)'!D$110/40)))</f>
        <v>#VALUE!</v>
      </c>
      <c r="X25" s="57" t="e">
        <f>W25*(1+'Rhaniad y Ddeiliadaeth (De-ddn)'!E$109)+(W$44*(-(50-$B25)*('Rhaniad y Ddeiliadaeth (De-ddn)'!E$110/40)))</f>
        <v>#VALUE!</v>
      </c>
      <c r="Y25" s="57" t="e">
        <f>X25*(1+'Rhaniad y Ddeiliadaeth (De-ddn)'!F$109)+(X$44*(-(50-$B25)*('Rhaniad y Ddeiliadaeth (De-ddn)'!F$110/40)))</f>
        <v>#VALUE!</v>
      </c>
      <c r="Z25" s="57" t="e">
        <f>Y25*(1+'Rhaniad y Ddeiliadaeth (De-ddn)'!G$109)+(Y$44*(-(50-$B25)*('Rhaniad y Ddeiliadaeth (De-ddn)'!G$110/40)))</f>
        <v>#VALUE!</v>
      </c>
      <c r="AB25" s="1">
        <v>31</v>
      </c>
      <c r="AC25" s="4">
        <f>IF('Rhaniad y Ddeiliadaeth (Cymru)'!$D$8="Amcangyfrifon LlC",'Incwm (De-ddwyrain)'!D25,'Incwm (De-ddwyrain)'!V25)</f>
        <v>18601.264775351203</v>
      </c>
      <c r="AD25" s="4">
        <f>IF('Rhaniad y Ddeiliadaeth (Cymru)'!$D$8="Amcangyfrifon LlC",'Incwm (De-ddwyrain)'!E25,'Incwm (De-ddwyrain)'!W25)</f>
        <v>18950.280339031302</v>
      </c>
      <c r="AE25" s="4">
        <f>IF('Rhaniad y Ddeiliadaeth (Cymru)'!$D$8="Amcangyfrifon LlC",'Incwm (De-ddwyrain)'!F25,'Incwm (De-ddwyrain)'!X25)</f>
        <v>19439.33838353799</v>
      </c>
      <c r="AF25" s="4">
        <f>IF('Rhaniad y Ddeiliadaeth (Cymru)'!$D$8="Amcangyfrifon LlC",'Incwm (De-ddwyrain)'!G25,'Incwm (De-ddwyrain)'!Y25)</f>
        <v>20023.345963515509</v>
      </c>
      <c r="AG25" s="4">
        <f>IF('Rhaniad y Ddeiliadaeth (Cymru)'!$D$8="Amcangyfrifon LlC",'Incwm (De-ddwyrain)'!H25,'Incwm (De-ddwyrain)'!Z25)</f>
        <v>20643.48448851347</v>
      </c>
    </row>
    <row r="26" spans="2:33" x14ac:dyDescent="0.25">
      <c r="B26" s="20">
        <v>32</v>
      </c>
      <c r="C26" s="57">
        <v>18532</v>
      </c>
      <c r="D26" s="57">
        <f>C26*(1+'Rhaniad y Ddeiliadaeth (De-ddn)'!C$109)+(C$44*(-(50-$B26)*('Rhaniad y Ddeiliadaeth (De-ddn)'!C$110/40)))</f>
        <v>19069.354184755462</v>
      </c>
      <c r="E26" s="57">
        <f>D26*(1+'Rhaniad y Ddeiliadaeth (De-ddn)'!D$109)+(D$44*(-(50-$B26)*('Rhaniad y Ddeiliadaeth (De-ddn)'!D$110/40)))</f>
        <v>19437.207263779554</v>
      </c>
      <c r="F26" s="57">
        <f>E26*(1+'Rhaniad y Ddeiliadaeth (De-ddn)'!E$109)+(E$44*(-(50-$B26)*('Rhaniad y Ddeiliadaeth (De-ddn)'!E$110/40)))</f>
        <v>19949.215252577738</v>
      </c>
      <c r="G26" s="57">
        <f>F26*(1+'Rhaniad y Ddeiliadaeth (De-ddn)'!F$109)+(F$44*(-(50-$B26)*('Rhaniad y Ddeiliadaeth (De-ddn)'!F$110/40)))</f>
        <v>20559.338201323961</v>
      </c>
      <c r="H26" s="58">
        <f>G26*(1+'Rhaniad y Ddeiliadaeth (De-ddn)'!G$109)+(G$44*(-(50-$B26)*('Rhaniad y Ddeiliadaeth (De-ddn)'!G$110/40)))</f>
        <v>21207.351179048332</v>
      </c>
      <c r="L26" s="62" t="str">
        <f t="shared" si="0"/>
        <v/>
      </c>
      <c r="M26" s="227"/>
      <c r="N26" s="14">
        <f t="shared" si="3"/>
        <v>1</v>
      </c>
      <c r="T26" s="1">
        <f t="shared" si="1"/>
        <v>32</v>
      </c>
      <c r="U26" s="4" t="str">
        <f t="shared" si="2"/>
        <v/>
      </c>
      <c r="V26" s="57" t="e">
        <f>IF($K$4=$V$3,M26,U26*(1+'Rhaniad y Ddeiliadaeth (De-ddn)'!C$109)+(U$44*(-(50-$B26)*('Rhaniad y Ddeiliadaeth (De-ddn)'!C$110/40))))</f>
        <v>#VALUE!</v>
      </c>
      <c r="W26" s="57" t="e">
        <f>V26*(1+'Rhaniad y Ddeiliadaeth (De-ddn)'!D$109)+(V$44*(-(50-$B26)*('Rhaniad y Ddeiliadaeth (De-ddn)'!D$110/40)))</f>
        <v>#VALUE!</v>
      </c>
      <c r="X26" s="57" t="e">
        <f>W26*(1+'Rhaniad y Ddeiliadaeth (De-ddn)'!E$109)+(W$44*(-(50-$B26)*('Rhaniad y Ddeiliadaeth (De-ddn)'!E$110/40)))</f>
        <v>#VALUE!</v>
      </c>
      <c r="Y26" s="57" t="e">
        <f>X26*(1+'Rhaniad y Ddeiliadaeth (De-ddn)'!F$109)+(X$44*(-(50-$B26)*('Rhaniad y Ddeiliadaeth (De-ddn)'!F$110/40)))</f>
        <v>#VALUE!</v>
      </c>
      <c r="Z26" s="57" t="e">
        <f>Y26*(1+'Rhaniad y Ddeiliadaeth (De-ddn)'!G$109)+(Y$44*(-(50-$B26)*('Rhaniad y Ddeiliadaeth (De-ddn)'!G$110/40)))</f>
        <v>#VALUE!</v>
      </c>
      <c r="AB26" s="1">
        <v>32</v>
      </c>
      <c r="AC26" s="4">
        <f>IF('Rhaniad y Ddeiliadaeth (Cymru)'!$D$8="Amcangyfrifon LlC",'Incwm (De-ddwyrain)'!D26,'Incwm (De-ddwyrain)'!V26)</f>
        <v>19069.354184755462</v>
      </c>
      <c r="AD26" s="4">
        <f>IF('Rhaniad y Ddeiliadaeth (Cymru)'!$D$8="Amcangyfrifon LlC",'Incwm (De-ddwyrain)'!E26,'Incwm (De-ddwyrain)'!W26)</f>
        <v>19437.207263779554</v>
      </c>
      <c r="AE26" s="4">
        <f>IF('Rhaniad y Ddeiliadaeth (Cymru)'!$D$8="Amcangyfrifon LlC",'Incwm (De-ddwyrain)'!F26,'Incwm (De-ddwyrain)'!X26)</f>
        <v>19949.215252577738</v>
      </c>
      <c r="AF26" s="4">
        <f>IF('Rhaniad y Ddeiliadaeth (Cymru)'!$D$8="Amcangyfrifon LlC",'Incwm (De-ddwyrain)'!G26,'Incwm (De-ddwyrain)'!Y26)</f>
        <v>20559.338201323961</v>
      </c>
      <c r="AG26" s="4">
        <f>IF('Rhaniad y Ddeiliadaeth (Cymru)'!$D$8="Amcangyfrifon LlC",'Incwm (De-ddwyrain)'!H26,'Incwm (De-ddwyrain)'!Z26)</f>
        <v>21207.351179048332</v>
      </c>
    </row>
    <row r="27" spans="2:33" x14ac:dyDescent="0.25">
      <c r="B27" s="20">
        <v>33</v>
      </c>
      <c r="C27" s="57">
        <v>18905.439999999999</v>
      </c>
      <c r="D27" s="57">
        <f>C27*(1+'Rhaniad y Ddeiliadaeth (De-ddn)'!C$109)+(C$44*(-(50-$B27)*('Rhaniad y Ddeiliadaeth (De-ddn)'!C$110/40)))</f>
        <v>19462.57545706601</v>
      </c>
      <c r="E27" s="57">
        <f>D27*(1+'Rhaniad y Ddeiliadaeth (De-ddn)'!D$109)+(D$44*(-(50-$B27)*('Rhaniad y Ddeiliadaeth (De-ddn)'!D$110/40)))</f>
        <v>19847.34110220076</v>
      </c>
      <c r="F27" s="57">
        <f>E27*(1+'Rhaniad y Ddeiliadaeth (De-ddn)'!E$109)+(E$44*(-(50-$B27)*('Rhaniad y Ddeiliadaeth (De-ddn)'!E$110/40)))</f>
        <v>20379.779990792653</v>
      </c>
      <c r="G27" s="57">
        <f>F27*(1+'Rhaniad y Ddeiliadaeth (De-ddn)'!F$109)+(F$44*(-(50-$B27)*('Rhaniad y Ddeiliadaeth (De-ddn)'!F$110/40)))</f>
        <v>21013.076950317489</v>
      </c>
      <c r="H27" s="58">
        <f>G27*(1+'Rhaniad y Ddeiliadaeth (De-ddn)'!G$109)+(G$44*(-(50-$B27)*('Rhaniad y Ddeiliadaeth (De-ddn)'!G$110/40)))</f>
        <v>21685.833630129087</v>
      </c>
      <c r="L27" s="62" t="str">
        <f t="shared" si="0"/>
        <v/>
      </c>
      <c r="M27" s="227"/>
      <c r="N27" s="14">
        <f t="shared" si="3"/>
        <v>1</v>
      </c>
      <c r="T27" s="1">
        <f t="shared" si="1"/>
        <v>33</v>
      </c>
      <c r="U27" s="4" t="str">
        <f t="shared" si="2"/>
        <v/>
      </c>
      <c r="V27" s="57" t="e">
        <f>IF($K$4=$V$3,M27,U27*(1+'Rhaniad y Ddeiliadaeth (De-ddn)'!C$109)+(U$44*(-(50-$B27)*('Rhaniad y Ddeiliadaeth (De-ddn)'!C$110/40))))</f>
        <v>#VALUE!</v>
      </c>
      <c r="W27" s="57" t="e">
        <f>V27*(1+'Rhaniad y Ddeiliadaeth (De-ddn)'!D$109)+(V$44*(-(50-$B27)*('Rhaniad y Ddeiliadaeth (De-ddn)'!D$110/40)))</f>
        <v>#VALUE!</v>
      </c>
      <c r="X27" s="57" t="e">
        <f>W27*(1+'Rhaniad y Ddeiliadaeth (De-ddn)'!E$109)+(W$44*(-(50-$B27)*('Rhaniad y Ddeiliadaeth (De-ddn)'!E$110/40)))</f>
        <v>#VALUE!</v>
      </c>
      <c r="Y27" s="57" t="e">
        <f>X27*(1+'Rhaniad y Ddeiliadaeth (De-ddn)'!F$109)+(X$44*(-(50-$B27)*('Rhaniad y Ddeiliadaeth (De-ddn)'!F$110/40)))</f>
        <v>#VALUE!</v>
      </c>
      <c r="Z27" s="57" t="e">
        <f>Y27*(1+'Rhaniad y Ddeiliadaeth (De-ddn)'!G$109)+(Y$44*(-(50-$B27)*('Rhaniad y Ddeiliadaeth (De-ddn)'!G$110/40)))</f>
        <v>#VALUE!</v>
      </c>
      <c r="AB27" s="1">
        <v>33</v>
      </c>
      <c r="AC27" s="4">
        <f>IF('Rhaniad y Ddeiliadaeth (Cymru)'!$D$8="Amcangyfrifon LlC",'Incwm (De-ddwyrain)'!D27,'Incwm (De-ddwyrain)'!V27)</f>
        <v>19462.57545706601</v>
      </c>
      <c r="AD27" s="4">
        <f>IF('Rhaniad y Ddeiliadaeth (Cymru)'!$D$8="Amcangyfrifon LlC",'Incwm (De-ddwyrain)'!E27,'Incwm (De-ddwyrain)'!W27)</f>
        <v>19847.34110220076</v>
      </c>
      <c r="AE27" s="4">
        <f>IF('Rhaniad y Ddeiliadaeth (Cymru)'!$D$8="Amcangyfrifon LlC",'Incwm (De-ddwyrain)'!F27,'Incwm (De-ddwyrain)'!X27)</f>
        <v>20379.779990792653</v>
      </c>
      <c r="AF27" s="4">
        <f>IF('Rhaniad y Ddeiliadaeth (Cymru)'!$D$8="Amcangyfrifon LlC",'Incwm (De-ddwyrain)'!G27,'Incwm (De-ddwyrain)'!Y27)</f>
        <v>21013.076950317489</v>
      </c>
      <c r="AG27" s="4">
        <f>IF('Rhaniad y Ddeiliadaeth (Cymru)'!$D$8="Amcangyfrifon LlC",'Incwm (De-ddwyrain)'!H27,'Incwm (De-ddwyrain)'!Z27)</f>
        <v>21685.833630129087</v>
      </c>
    </row>
    <row r="28" spans="2:33" x14ac:dyDescent="0.25">
      <c r="B28" s="20">
        <v>34</v>
      </c>
      <c r="C28" s="57">
        <v>19366</v>
      </c>
      <c r="D28" s="57">
        <f>C28*(1+'Rhaniad y Ddeiliadaeth (De-ddn)'!C$109)+(C$44*(-(50-$B28)*('Rhaniad y Ddeiliadaeth (De-ddn)'!C$110/40)))</f>
        <v>19945.998805211217</v>
      </c>
      <c r="E28" s="57">
        <f>D28*(1+'Rhaniad y Ddeiliadaeth (De-ddn)'!D$109)+(D$44*(-(50-$B28)*('Rhaniad y Ddeiliadaeth (De-ddn)'!D$110/40)))</f>
        <v>20349.996219571105</v>
      </c>
      <c r="F28" s="57">
        <f>E28*(1+'Rhaniad y Ddeiliadaeth (De-ddn)'!E$109)+(E$44*(-(50-$B28)*('Rhaniad y Ddeiliadaeth (De-ddn)'!E$110/40)))</f>
        <v>20905.900984538745</v>
      </c>
      <c r="G28" s="57">
        <f>F28*(1+'Rhaniad y Ddeiliadaeth (De-ddn)'!F$109)+(F$44*(-(50-$B28)*('Rhaniad y Ddeiliadaeth (De-ddn)'!F$110/40)))</f>
        <v>21565.91574004613</v>
      </c>
      <c r="H28" s="58">
        <f>G28*(1+'Rhaniad y Ddeiliadaeth (De-ddn)'!G$109)+(G$44*(-(50-$B28)*('Rhaniad y Ddeiliadaeth (De-ddn)'!G$110/40)))</f>
        <v>22267.18808980121</v>
      </c>
      <c r="L28" s="62" t="str">
        <f t="shared" si="0"/>
        <v/>
      </c>
      <c r="M28" s="227"/>
      <c r="N28" s="14">
        <f t="shared" si="3"/>
        <v>1</v>
      </c>
      <c r="T28" s="1">
        <f t="shared" si="1"/>
        <v>34</v>
      </c>
      <c r="U28" s="4" t="str">
        <f t="shared" si="2"/>
        <v/>
      </c>
      <c r="V28" s="57" t="e">
        <f>IF($K$4=$V$3,M28,U28*(1+'Rhaniad y Ddeiliadaeth (De-ddn)'!C$109)+(U$44*(-(50-$B28)*('Rhaniad y Ddeiliadaeth (De-ddn)'!C$110/40))))</f>
        <v>#VALUE!</v>
      </c>
      <c r="W28" s="57" t="e">
        <f>V28*(1+'Rhaniad y Ddeiliadaeth (De-ddn)'!D$109)+(V$44*(-(50-$B28)*('Rhaniad y Ddeiliadaeth (De-ddn)'!D$110/40)))</f>
        <v>#VALUE!</v>
      </c>
      <c r="X28" s="57" t="e">
        <f>W28*(1+'Rhaniad y Ddeiliadaeth (De-ddn)'!E$109)+(W$44*(-(50-$B28)*('Rhaniad y Ddeiliadaeth (De-ddn)'!E$110/40)))</f>
        <v>#VALUE!</v>
      </c>
      <c r="Y28" s="57" t="e">
        <f>X28*(1+'Rhaniad y Ddeiliadaeth (De-ddn)'!F$109)+(X$44*(-(50-$B28)*('Rhaniad y Ddeiliadaeth (De-ddn)'!F$110/40)))</f>
        <v>#VALUE!</v>
      </c>
      <c r="Z28" s="57" t="e">
        <f>Y28*(1+'Rhaniad y Ddeiliadaeth (De-ddn)'!G$109)+(Y$44*(-(50-$B28)*('Rhaniad y Ddeiliadaeth (De-ddn)'!G$110/40)))</f>
        <v>#VALUE!</v>
      </c>
      <c r="AB28" s="1">
        <v>34</v>
      </c>
      <c r="AC28" s="4">
        <f>IF('Rhaniad y Ddeiliadaeth (Cymru)'!$D$8="Amcangyfrifon LlC",'Incwm (De-ddwyrain)'!D28,'Incwm (De-ddwyrain)'!V28)</f>
        <v>19945.998805211217</v>
      </c>
      <c r="AD28" s="4">
        <f>IF('Rhaniad y Ddeiliadaeth (Cymru)'!$D$8="Amcangyfrifon LlC",'Incwm (De-ddwyrain)'!E28,'Incwm (De-ddwyrain)'!W28)</f>
        <v>20349.996219571105</v>
      </c>
      <c r="AE28" s="4">
        <f>IF('Rhaniad y Ddeiliadaeth (Cymru)'!$D$8="Amcangyfrifon LlC",'Incwm (De-ddwyrain)'!F28,'Incwm (De-ddwyrain)'!X28)</f>
        <v>20905.900984538745</v>
      </c>
      <c r="AF28" s="4">
        <f>IF('Rhaniad y Ddeiliadaeth (Cymru)'!$D$8="Amcangyfrifon LlC",'Incwm (De-ddwyrain)'!G28,'Incwm (De-ddwyrain)'!Y28)</f>
        <v>21565.91574004613</v>
      </c>
      <c r="AG28" s="4">
        <f>IF('Rhaniad y Ddeiliadaeth (Cymru)'!$D$8="Amcangyfrifon LlC",'Incwm (De-ddwyrain)'!H28,'Incwm (De-ddwyrain)'!Z28)</f>
        <v>22267.18808980121</v>
      </c>
    </row>
    <row r="29" spans="2:33" x14ac:dyDescent="0.25">
      <c r="B29" s="20">
        <v>35</v>
      </c>
      <c r="C29" s="57">
        <v>19692.5</v>
      </c>
      <c r="D29" s="57">
        <f>C29*(1+'Rhaniad y Ddeiliadaeth (De-ddn)'!C$109)+(C$44*(-(50-$B29)*('Rhaniad y Ddeiliadaeth (De-ddn)'!C$110/40)))</f>
        <v>20290.619464118656</v>
      </c>
      <c r="E29" s="57">
        <f>D29*(1+'Rhaniad y Ddeiliadaeth (De-ddn)'!D$109)+(D$44*(-(50-$B29)*('Rhaniad y Ddeiliadaeth (De-ddn)'!D$110/40)))</f>
        <v>20710.279864766049</v>
      </c>
      <c r="F29" s="57">
        <f>E29*(1+'Rhaniad y Ddeiliadaeth (De-ddn)'!E$109)+(E$44*(-(50-$B29)*('Rhaniad y Ddeiliadaeth (De-ddn)'!E$110/40)))</f>
        <v>21284.980293063203</v>
      </c>
      <c r="G29" s="57">
        <f>F29*(1+'Rhaniad y Ddeiliadaeth (De-ddn)'!F$109)+(F$44*(-(50-$B29)*('Rhaniad y Ddeiliadaeth (De-ddn)'!F$110/40)))</f>
        <v>21966.259678294649</v>
      </c>
      <c r="H29" s="58">
        <f>G29*(1+'Rhaniad y Ddeiliadaeth (De-ddn)'!G$109)+(G$44*(-(50-$B29)*('Rhaniad y Ddeiliadaeth (De-ddn)'!G$110/40)))</f>
        <v>22690.243404939836</v>
      </c>
      <c r="L29" s="62" t="str">
        <f t="shared" si="0"/>
        <v/>
      </c>
      <c r="M29" s="227"/>
      <c r="N29" s="14">
        <f t="shared" si="3"/>
        <v>1</v>
      </c>
      <c r="T29" s="1">
        <f t="shared" si="1"/>
        <v>35</v>
      </c>
      <c r="U29" s="4" t="str">
        <f t="shared" si="2"/>
        <v/>
      </c>
      <c r="V29" s="57" t="e">
        <f>IF($K$4=$V$3,M29,U29*(1+'Rhaniad y Ddeiliadaeth (De-ddn)'!C$109)+(U$44*(-(50-$B29)*('Rhaniad y Ddeiliadaeth (De-ddn)'!C$110/40))))</f>
        <v>#VALUE!</v>
      </c>
      <c r="W29" s="57" t="e">
        <f>V29*(1+'Rhaniad y Ddeiliadaeth (De-ddn)'!D$109)+(V$44*(-(50-$B29)*('Rhaniad y Ddeiliadaeth (De-ddn)'!D$110/40)))</f>
        <v>#VALUE!</v>
      </c>
      <c r="X29" s="57" t="e">
        <f>W29*(1+'Rhaniad y Ddeiliadaeth (De-ddn)'!E$109)+(W$44*(-(50-$B29)*('Rhaniad y Ddeiliadaeth (De-ddn)'!E$110/40)))</f>
        <v>#VALUE!</v>
      </c>
      <c r="Y29" s="57" t="e">
        <f>X29*(1+'Rhaniad y Ddeiliadaeth (De-ddn)'!F$109)+(X$44*(-(50-$B29)*('Rhaniad y Ddeiliadaeth (De-ddn)'!F$110/40)))</f>
        <v>#VALUE!</v>
      </c>
      <c r="Z29" s="57" t="e">
        <f>Y29*(1+'Rhaniad y Ddeiliadaeth (De-ddn)'!G$109)+(Y$44*(-(50-$B29)*('Rhaniad y Ddeiliadaeth (De-ddn)'!G$110/40)))</f>
        <v>#VALUE!</v>
      </c>
      <c r="AB29" s="1">
        <v>35</v>
      </c>
      <c r="AC29" s="4">
        <f>IF('Rhaniad y Ddeiliadaeth (Cymru)'!$D$8="Amcangyfrifon LlC",'Incwm (De-ddwyrain)'!D29,'Incwm (De-ddwyrain)'!V29)</f>
        <v>20290.619464118656</v>
      </c>
      <c r="AD29" s="4">
        <f>IF('Rhaniad y Ddeiliadaeth (Cymru)'!$D$8="Amcangyfrifon LlC",'Incwm (De-ddwyrain)'!E29,'Incwm (De-ddwyrain)'!W29)</f>
        <v>20710.279864766049</v>
      </c>
      <c r="AE29" s="4">
        <f>IF('Rhaniad y Ddeiliadaeth (Cymru)'!$D$8="Amcangyfrifon LlC",'Incwm (De-ddwyrain)'!F29,'Incwm (De-ddwyrain)'!X29)</f>
        <v>21284.980293063203</v>
      </c>
      <c r="AF29" s="4">
        <f>IF('Rhaniad y Ddeiliadaeth (Cymru)'!$D$8="Amcangyfrifon LlC",'Incwm (De-ddwyrain)'!G29,'Incwm (De-ddwyrain)'!Y29)</f>
        <v>21966.259678294649</v>
      </c>
      <c r="AG29" s="4">
        <f>IF('Rhaniad y Ddeiliadaeth (Cymru)'!$D$8="Amcangyfrifon LlC",'Incwm (De-ddwyrain)'!H29,'Incwm (De-ddwyrain)'!Z29)</f>
        <v>22690.243404939836</v>
      </c>
    </row>
    <row r="30" spans="2:33" x14ac:dyDescent="0.25">
      <c r="B30" s="20">
        <v>36</v>
      </c>
      <c r="C30" s="57">
        <v>20010</v>
      </c>
      <c r="D30" s="57">
        <f>C30*(1+'Rhaniad y Ddeiliadaeth (De-ddn)'!C$109)+(C$44*(-(50-$B30)*('Rhaniad y Ddeiliadaeth (De-ddn)'!C$110/40)))</f>
        <v>20625.921726762186</v>
      </c>
      <c r="E30" s="57">
        <f>D30*(1+'Rhaniad y Ddeiliadaeth (De-ddn)'!D$109)+(D$44*(-(50-$B30)*('Rhaniad y Ddeiliadaeth (De-ddn)'!D$110/40)))</f>
        <v>21061.005526598477</v>
      </c>
      <c r="F30" s="57">
        <f>E30*(1+'Rhaniad y Ddeiliadaeth (De-ddn)'!E$109)+(E$44*(-(50-$B30)*('Rhaniad y Ddeiliadaeth (De-ddn)'!E$110/40)))</f>
        <v>21654.188087586503</v>
      </c>
      <c r="G30" s="57">
        <f>F30*(1+'Rhaniad y Ddeiliadaeth (De-ddn)'!F$109)+(F$44*(-(50-$B30)*('Rhaniad y Ddeiliadaeth (De-ddn)'!F$110/40)))</f>
        <v>22356.366009029207</v>
      </c>
      <c r="H30" s="58">
        <f>G30*(1+'Rhaniad y Ddeiliadaeth (De-ddn)'!G$109)+(G$44*(-(50-$B30)*('Rhaniad y Ddeiliadaeth (De-ddn)'!G$110/40)))</f>
        <v>23102.671446463653</v>
      </c>
      <c r="L30" s="62" t="str">
        <f t="shared" si="0"/>
        <v/>
      </c>
      <c r="M30" s="227"/>
      <c r="N30" s="14">
        <f t="shared" si="3"/>
        <v>1</v>
      </c>
      <c r="T30" s="1">
        <f t="shared" si="1"/>
        <v>36</v>
      </c>
      <c r="U30" s="4" t="str">
        <f t="shared" si="2"/>
        <v/>
      </c>
      <c r="V30" s="57" t="e">
        <f>IF($K$4=$V$3,M30,U30*(1+'Rhaniad y Ddeiliadaeth (De-ddn)'!C$109)+(U$44*(-(50-$B30)*('Rhaniad y Ddeiliadaeth (De-ddn)'!C$110/40))))</f>
        <v>#VALUE!</v>
      </c>
      <c r="W30" s="57" t="e">
        <f>V30*(1+'Rhaniad y Ddeiliadaeth (De-ddn)'!D$109)+(V$44*(-(50-$B30)*('Rhaniad y Ddeiliadaeth (De-ddn)'!D$110/40)))</f>
        <v>#VALUE!</v>
      </c>
      <c r="X30" s="57" t="e">
        <f>W30*(1+'Rhaniad y Ddeiliadaeth (De-ddn)'!E$109)+(W$44*(-(50-$B30)*('Rhaniad y Ddeiliadaeth (De-ddn)'!E$110/40)))</f>
        <v>#VALUE!</v>
      </c>
      <c r="Y30" s="57" t="e">
        <f>X30*(1+'Rhaniad y Ddeiliadaeth (De-ddn)'!F$109)+(X$44*(-(50-$B30)*('Rhaniad y Ddeiliadaeth (De-ddn)'!F$110/40)))</f>
        <v>#VALUE!</v>
      </c>
      <c r="Z30" s="57" t="e">
        <f>Y30*(1+'Rhaniad y Ddeiliadaeth (De-ddn)'!G$109)+(Y$44*(-(50-$B30)*('Rhaniad y Ddeiliadaeth (De-ddn)'!G$110/40)))</f>
        <v>#VALUE!</v>
      </c>
      <c r="AB30" s="1">
        <v>36</v>
      </c>
      <c r="AC30" s="4">
        <f>IF('Rhaniad y Ddeiliadaeth (Cymru)'!$D$8="Amcangyfrifon LlC",'Incwm (De-ddwyrain)'!D30,'Incwm (De-ddwyrain)'!V30)</f>
        <v>20625.921726762186</v>
      </c>
      <c r="AD30" s="4">
        <f>IF('Rhaniad y Ddeiliadaeth (Cymru)'!$D$8="Amcangyfrifon LlC",'Incwm (De-ddwyrain)'!E30,'Incwm (De-ddwyrain)'!W30)</f>
        <v>21061.005526598477</v>
      </c>
      <c r="AE30" s="4">
        <f>IF('Rhaniad y Ddeiliadaeth (Cymru)'!$D$8="Amcangyfrifon LlC",'Incwm (De-ddwyrain)'!F30,'Incwm (De-ddwyrain)'!X30)</f>
        <v>21654.188087586503</v>
      </c>
      <c r="AF30" s="4">
        <f>IF('Rhaniad y Ddeiliadaeth (Cymru)'!$D$8="Amcangyfrifon LlC",'Incwm (De-ddwyrain)'!G30,'Incwm (De-ddwyrain)'!Y30)</f>
        <v>22356.366009029207</v>
      </c>
      <c r="AG30" s="4">
        <f>IF('Rhaniad y Ddeiliadaeth (Cymru)'!$D$8="Amcangyfrifon LlC",'Incwm (De-ddwyrain)'!H30,'Incwm (De-ddwyrain)'!Z30)</f>
        <v>23102.671446463653</v>
      </c>
    </row>
    <row r="31" spans="2:33" x14ac:dyDescent="0.25">
      <c r="B31" s="20">
        <v>37</v>
      </c>
      <c r="C31" s="57">
        <v>20343.099999999999</v>
      </c>
      <c r="D31" s="57">
        <f>C31*(1+'Rhaniad y Ddeiliadaeth (De-ddn)'!C$109)+(C$44*(-(50-$B31)*('Rhaniad y Ddeiliadaeth (De-ddn)'!C$110/40)))</f>
        <v>20977.375876263155</v>
      </c>
      <c r="E31" s="57">
        <f>D31*(1+'Rhaniad y Ddeiliadaeth (De-ddn)'!D$109)+(D$44*(-(50-$B31)*('Rhaniad y Ddeiliadaeth (De-ddn)'!D$110/40)))</f>
        <v>21428.298359592594</v>
      </c>
      <c r="F31" s="57">
        <f>E31*(1+'Rhaniad y Ddeiliadaeth (De-ddn)'!E$109)+(E$44*(-(50-$B31)*('Rhaniad y Ddeiliadaeth (De-ddn)'!E$110/40)))</f>
        <v>22040.506506378471</v>
      </c>
      <c r="G31" s="57">
        <f>F31*(1+'Rhaniad y Ddeiliadaeth (De-ddn)'!F$109)+(F$44*(-(50-$B31)*('Rhaniad y Ddeiliadaeth (De-ddn)'!F$110/40)))</f>
        <v>22764.217526121294</v>
      </c>
      <c r="H31" s="58">
        <f>G31*(1+'Rhaniad y Ddeiliadaeth (De-ddn)'!G$109)+(G$44*(-(50-$B31)*('Rhaniad y Ddeiliadaeth (De-ddn)'!G$110/40)))</f>
        <v>23533.520095586478</v>
      </c>
      <c r="L31" s="62" t="str">
        <f t="shared" si="0"/>
        <v/>
      </c>
      <c r="M31" s="227"/>
      <c r="N31" s="14">
        <f t="shared" si="3"/>
        <v>1</v>
      </c>
      <c r="T31" s="1">
        <f t="shared" si="1"/>
        <v>37</v>
      </c>
      <c r="U31" s="4" t="str">
        <f t="shared" si="2"/>
        <v/>
      </c>
      <c r="V31" s="57" t="e">
        <f>IF($K$4=$V$3,M31,U31*(1+'Rhaniad y Ddeiliadaeth (De-ddn)'!C$109)+(U$44*(-(50-$B31)*('Rhaniad y Ddeiliadaeth (De-ddn)'!C$110/40))))</f>
        <v>#VALUE!</v>
      </c>
      <c r="W31" s="57" t="e">
        <f>V31*(1+'Rhaniad y Ddeiliadaeth (De-ddn)'!D$109)+(V$44*(-(50-$B31)*('Rhaniad y Ddeiliadaeth (De-ddn)'!D$110/40)))</f>
        <v>#VALUE!</v>
      </c>
      <c r="X31" s="57" t="e">
        <f>W31*(1+'Rhaniad y Ddeiliadaeth (De-ddn)'!E$109)+(W$44*(-(50-$B31)*('Rhaniad y Ddeiliadaeth (De-ddn)'!E$110/40)))</f>
        <v>#VALUE!</v>
      </c>
      <c r="Y31" s="57" t="e">
        <f>X31*(1+'Rhaniad y Ddeiliadaeth (De-ddn)'!F$109)+(X$44*(-(50-$B31)*('Rhaniad y Ddeiliadaeth (De-ddn)'!F$110/40)))</f>
        <v>#VALUE!</v>
      </c>
      <c r="Z31" s="57" t="e">
        <f>Y31*(1+'Rhaniad y Ddeiliadaeth (De-ddn)'!G$109)+(Y$44*(-(50-$B31)*('Rhaniad y Ddeiliadaeth (De-ddn)'!G$110/40)))</f>
        <v>#VALUE!</v>
      </c>
      <c r="AB31" s="1">
        <v>37</v>
      </c>
      <c r="AC31" s="4">
        <f>IF('Rhaniad y Ddeiliadaeth (Cymru)'!$D$8="Amcangyfrifon LlC",'Incwm (De-ddwyrain)'!D31,'Incwm (De-ddwyrain)'!V31)</f>
        <v>20977.375876263155</v>
      </c>
      <c r="AD31" s="4">
        <f>IF('Rhaniad y Ddeiliadaeth (Cymru)'!$D$8="Amcangyfrifon LlC",'Incwm (De-ddwyrain)'!E31,'Incwm (De-ddwyrain)'!W31)</f>
        <v>21428.298359592594</v>
      </c>
      <c r="AE31" s="4">
        <f>IF('Rhaniad y Ddeiliadaeth (Cymru)'!$D$8="Amcangyfrifon LlC",'Incwm (De-ddwyrain)'!F31,'Incwm (De-ddwyrain)'!X31)</f>
        <v>22040.506506378471</v>
      </c>
      <c r="AF31" s="4">
        <f>IF('Rhaniad y Ddeiliadaeth (Cymru)'!$D$8="Amcangyfrifon LlC",'Incwm (De-ddwyrain)'!G31,'Incwm (De-ddwyrain)'!Y31)</f>
        <v>22764.217526121294</v>
      </c>
      <c r="AG31" s="4">
        <f>IF('Rhaniad y Ddeiliadaeth (Cymru)'!$D$8="Amcangyfrifon LlC",'Incwm (De-ddwyrain)'!H31,'Incwm (De-ddwyrain)'!Z31)</f>
        <v>23533.520095586478</v>
      </c>
    </row>
    <row r="32" spans="2:33" x14ac:dyDescent="0.25">
      <c r="B32" s="20">
        <v>38</v>
      </c>
      <c r="C32" s="57">
        <v>20791</v>
      </c>
      <c r="D32" s="57">
        <f>C32*(1+'Rhaniad y Ddeiliadaeth (De-ddn)'!C$109)+(C$44*(-(50-$B32)*('Rhaniad y Ddeiliadaeth (De-ddn)'!C$110/40)))</f>
        <v>21447.69134699713</v>
      </c>
      <c r="E32" s="57">
        <f>D32*(1+'Rhaniad y Ddeiliadaeth (De-ddn)'!D$109)+(D$44*(-(50-$B32)*('Rhaniad y Ddeiliadaeth (De-ddn)'!D$110/40)))</f>
        <v>21917.508580366335</v>
      </c>
      <c r="F32" s="57">
        <f>E32*(1+'Rhaniad y Ddeiliadaeth (De-ddn)'!E$109)+(E$44*(-(50-$B32)*('Rhaniad y Ddeiliadaeth (De-ddn)'!E$110/40)))</f>
        <v>22552.741570429607</v>
      </c>
      <c r="G32" s="57">
        <f>F32*(1+'Rhaniad y Ddeiliadaeth (De-ddn)'!F$109)+(F$44*(-(50-$B32)*('Rhaniad y Ddeiliadaeth (De-ddn)'!F$110/40)))</f>
        <v>23302.655414613637</v>
      </c>
      <c r="H32" s="58">
        <f>G32*(1+'Rhaniad y Ddeiliadaeth (De-ddn)'!G$109)+(G$44*(-(50-$B32)*('Rhaniad y Ddeiliadaeth (De-ddn)'!G$110/40)))</f>
        <v>24099.925523707105</v>
      </c>
      <c r="L32" s="62" t="str">
        <f t="shared" si="0"/>
        <v/>
      </c>
      <c r="M32" s="227"/>
      <c r="N32" s="14">
        <f t="shared" si="3"/>
        <v>1</v>
      </c>
      <c r="T32" s="1">
        <f t="shared" si="1"/>
        <v>38</v>
      </c>
      <c r="U32" s="4" t="str">
        <f t="shared" si="2"/>
        <v/>
      </c>
      <c r="V32" s="57" t="e">
        <f>IF($K$4=$V$3,M32,U32*(1+'Rhaniad y Ddeiliadaeth (De-ddn)'!C$109)+(U$44*(-(50-$B32)*('Rhaniad y Ddeiliadaeth (De-ddn)'!C$110/40))))</f>
        <v>#VALUE!</v>
      </c>
      <c r="W32" s="57" t="e">
        <f>V32*(1+'Rhaniad y Ddeiliadaeth (De-ddn)'!D$109)+(V$44*(-(50-$B32)*('Rhaniad y Ddeiliadaeth (De-ddn)'!D$110/40)))</f>
        <v>#VALUE!</v>
      </c>
      <c r="X32" s="57" t="e">
        <f>W32*(1+'Rhaniad y Ddeiliadaeth (De-ddn)'!E$109)+(W$44*(-(50-$B32)*('Rhaniad y Ddeiliadaeth (De-ddn)'!E$110/40)))</f>
        <v>#VALUE!</v>
      </c>
      <c r="Y32" s="57" t="e">
        <f>X32*(1+'Rhaniad y Ddeiliadaeth (De-ddn)'!F$109)+(X$44*(-(50-$B32)*('Rhaniad y Ddeiliadaeth (De-ddn)'!F$110/40)))</f>
        <v>#VALUE!</v>
      </c>
      <c r="Z32" s="57" t="e">
        <f>Y32*(1+'Rhaniad y Ddeiliadaeth (De-ddn)'!G$109)+(Y$44*(-(50-$B32)*('Rhaniad y Ddeiliadaeth (De-ddn)'!G$110/40)))</f>
        <v>#VALUE!</v>
      </c>
      <c r="AB32" s="1">
        <v>38</v>
      </c>
      <c r="AC32" s="4">
        <f>IF('Rhaniad y Ddeiliadaeth (Cymru)'!$D$8="Amcangyfrifon LlC",'Incwm (De-ddwyrain)'!D32,'Incwm (De-ddwyrain)'!V32)</f>
        <v>21447.69134699713</v>
      </c>
      <c r="AD32" s="4">
        <f>IF('Rhaniad y Ddeiliadaeth (Cymru)'!$D$8="Amcangyfrifon LlC",'Incwm (De-ddwyrain)'!E32,'Incwm (De-ddwyrain)'!W32)</f>
        <v>21917.508580366335</v>
      </c>
      <c r="AE32" s="4">
        <f>IF('Rhaniad y Ddeiliadaeth (Cymru)'!$D$8="Amcangyfrifon LlC",'Incwm (De-ddwyrain)'!F32,'Incwm (De-ddwyrain)'!X32)</f>
        <v>22552.741570429607</v>
      </c>
      <c r="AF32" s="4">
        <f>IF('Rhaniad y Ddeiliadaeth (Cymru)'!$D$8="Amcangyfrifon LlC",'Incwm (De-ddwyrain)'!G32,'Incwm (De-ddwyrain)'!Y32)</f>
        <v>23302.655414613637</v>
      </c>
      <c r="AG32" s="4">
        <f>IF('Rhaniad y Ddeiliadaeth (Cymru)'!$D$8="Amcangyfrifon LlC",'Incwm (De-ddwyrain)'!H32,'Incwm (De-ddwyrain)'!Z32)</f>
        <v>24099.925523707105</v>
      </c>
    </row>
    <row r="33" spans="2:33" x14ac:dyDescent="0.25">
      <c r="B33" s="20">
        <v>39</v>
      </c>
      <c r="C33" s="57">
        <v>21349</v>
      </c>
      <c r="D33" s="57">
        <f>C33*(1+'Rhaniad y Ddeiliadaeth (De-ddn)'!C$109)+(C$44*(-(50-$B33)*('Rhaniad y Ddeiliadaeth (De-ddn)'!C$110/40)))</f>
        <v>22032.001865359613</v>
      </c>
      <c r="E33" s="57">
        <f>D33*(1+'Rhaniad y Ddeiliadaeth (De-ddn)'!D$109)+(D$44*(-(50-$B33)*('Rhaniad y Ddeiliadaeth (De-ddn)'!D$110/40)))</f>
        <v>22523.644797608158</v>
      </c>
      <c r="F33" s="57">
        <f>E33*(1+'Rhaniad y Ddeiliadaeth (De-ddn)'!E$109)+(E$44*(-(50-$B33)*('Rhaniad y Ddeiliadaeth (De-ddn)'!E$110/40)))</f>
        <v>23185.738155761515</v>
      </c>
      <c r="G33" s="57">
        <f>F33*(1+'Rhaniad y Ddeiliadaeth (De-ddn)'!F$109)+(F$44*(-(50-$B33)*('Rhaniad y Ddeiliadaeth (De-ddn)'!F$110/40)))</f>
        <v>23966.333368360047</v>
      </c>
      <c r="H33" s="58">
        <f>G33*(1+'Rhaniad y Ddeiliadaeth (De-ddn)'!G$109)+(G$44*(-(50-$B33)*('Rhaniad y Ddeiliadaeth (De-ddn)'!G$110/40)))</f>
        <v>24796.33793238223</v>
      </c>
      <c r="L33" s="62" t="str">
        <f t="shared" si="0"/>
        <v/>
      </c>
      <c r="M33" s="227"/>
      <c r="N33" s="14">
        <f t="shared" si="3"/>
        <v>1</v>
      </c>
      <c r="T33" s="1">
        <f t="shared" si="1"/>
        <v>39</v>
      </c>
      <c r="U33" s="4" t="str">
        <f t="shared" si="2"/>
        <v/>
      </c>
      <c r="V33" s="57" t="e">
        <f>IF($K$4=$V$3,M33,U33*(1+'Rhaniad y Ddeiliadaeth (De-ddn)'!C$109)+(U$44*(-(50-$B33)*('Rhaniad y Ddeiliadaeth (De-ddn)'!C$110/40))))</f>
        <v>#VALUE!</v>
      </c>
      <c r="W33" s="57" t="e">
        <f>V33*(1+'Rhaniad y Ddeiliadaeth (De-ddn)'!D$109)+(V$44*(-(50-$B33)*('Rhaniad y Ddeiliadaeth (De-ddn)'!D$110/40)))</f>
        <v>#VALUE!</v>
      </c>
      <c r="X33" s="57" t="e">
        <f>W33*(1+'Rhaniad y Ddeiliadaeth (De-ddn)'!E$109)+(W$44*(-(50-$B33)*('Rhaniad y Ddeiliadaeth (De-ddn)'!E$110/40)))</f>
        <v>#VALUE!</v>
      </c>
      <c r="Y33" s="57" t="e">
        <f>X33*(1+'Rhaniad y Ddeiliadaeth (De-ddn)'!F$109)+(X$44*(-(50-$B33)*('Rhaniad y Ddeiliadaeth (De-ddn)'!F$110/40)))</f>
        <v>#VALUE!</v>
      </c>
      <c r="Z33" s="57" t="e">
        <f>Y33*(1+'Rhaniad y Ddeiliadaeth (De-ddn)'!G$109)+(Y$44*(-(50-$B33)*('Rhaniad y Ddeiliadaeth (De-ddn)'!G$110/40)))</f>
        <v>#VALUE!</v>
      </c>
      <c r="AB33" s="1">
        <v>39</v>
      </c>
      <c r="AC33" s="4">
        <f>IF('Rhaniad y Ddeiliadaeth (Cymru)'!$D$8="Amcangyfrifon LlC",'Incwm (De-ddwyrain)'!D33,'Incwm (De-ddwyrain)'!V33)</f>
        <v>22032.001865359613</v>
      </c>
      <c r="AD33" s="4">
        <f>IF('Rhaniad y Ddeiliadaeth (Cymru)'!$D$8="Amcangyfrifon LlC",'Incwm (De-ddwyrain)'!E33,'Incwm (De-ddwyrain)'!W33)</f>
        <v>22523.644797608158</v>
      </c>
      <c r="AE33" s="4">
        <f>IF('Rhaniad y Ddeiliadaeth (Cymru)'!$D$8="Amcangyfrifon LlC",'Incwm (De-ddwyrain)'!F33,'Incwm (De-ddwyrain)'!X33)</f>
        <v>23185.738155761515</v>
      </c>
      <c r="AF33" s="4">
        <f>IF('Rhaniad y Ddeiliadaeth (Cymru)'!$D$8="Amcangyfrifon LlC",'Incwm (De-ddwyrain)'!G33,'Incwm (De-ddwyrain)'!Y33)</f>
        <v>23966.333368360047</v>
      </c>
      <c r="AG33" s="4">
        <f>IF('Rhaniad y Ddeiliadaeth (Cymru)'!$D$8="Amcangyfrifon LlC",'Incwm (De-ddwyrain)'!H33,'Incwm (De-ddwyrain)'!Z33)</f>
        <v>24796.33793238223</v>
      </c>
    </row>
    <row r="34" spans="2:33" x14ac:dyDescent="0.25">
      <c r="B34" s="20">
        <v>40</v>
      </c>
      <c r="C34" s="57">
        <v>21769.5</v>
      </c>
      <c r="D34" s="57">
        <f>C34*(1+'Rhaniad y Ddeiliadaeth (De-ddn)'!C$109)+(C$44*(-(50-$B34)*('Rhaniad y Ddeiliadaeth (De-ddn)'!C$110/40)))</f>
        <v>22473.94799635679</v>
      </c>
      <c r="E34" s="57">
        <f>D34*(1+'Rhaniad y Ddeiliadaeth (De-ddn)'!D$109)+(D$44*(-(50-$B34)*('Rhaniad y Ddeiliadaeth (De-ddn)'!D$110/40)))</f>
        <v>22983.756269033802</v>
      </c>
      <c r="F34" s="57">
        <f>E34*(1+'Rhaniad y Ddeiliadaeth (De-ddn)'!E$109)+(E$44*(-(50-$B34)*('Rhaniad y Ddeiliadaeth (De-ddn)'!E$110/40)))</f>
        <v>23667.91994385358</v>
      </c>
      <c r="G34" s="57">
        <f>F34*(1+'Rhaniad y Ddeiliadaeth (De-ddn)'!F$109)+(F$44*(-(50-$B34)*('Rhaniad y Ddeiliadaeth (De-ddn)'!F$110/40)))</f>
        <v>24473.603429532115</v>
      </c>
      <c r="H34" s="58">
        <f>G34*(1+'Rhaniad y Ddeiliadaeth (De-ddn)'!G$109)+(G$44*(-(50-$B34)*('Rhaniad y Ddeiliadaeth (De-ddn)'!G$110/40)))</f>
        <v>25330.389216386648</v>
      </c>
      <c r="L34" s="62" t="str">
        <f t="shared" si="0"/>
        <v/>
      </c>
      <c r="M34" s="227"/>
      <c r="N34" s="14">
        <f t="shared" si="3"/>
        <v>1</v>
      </c>
      <c r="T34" s="1">
        <f t="shared" si="1"/>
        <v>40</v>
      </c>
      <c r="U34" s="4" t="str">
        <f t="shared" si="2"/>
        <v/>
      </c>
      <c r="V34" s="57" t="e">
        <f>IF($K$4=$V$3,M34,U34*(1+'Rhaniad y Ddeiliadaeth (De-ddn)'!C$109)+(U$44*(-(50-$B34)*('Rhaniad y Ddeiliadaeth (De-ddn)'!C$110/40))))</f>
        <v>#VALUE!</v>
      </c>
      <c r="W34" s="57" t="e">
        <f>V34*(1+'Rhaniad y Ddeiliadaeth (De-ddn)'!D$109)+(V$44*(-(50-$B34)*('Rhaniad y Ddeiliadaeth (De-ddn)'!D$110/40)))</f>
        <v>#VALUE!</v>
      </c>
      <c r="X34" s="57" t="e">
        <f>W34*(1+'Rhaniad y Ddeiliadaeth (De-ddn)'!E$109)+(W$44*(-(50-$B34)*('Rhaniad y Ddeiliadaeth (De-ddn)'!E$110/40)))</f>
        <v>#VALUE!</v>
      </c>
      <c r="Y34" s="57" t="e">
        <f>X34*(1+'Rhaniad y Ddeiliadaeth (De-ddn)'!F$109)+(X$44*(-(50-$B34)*('Rhaniad y Ddeiliadaeth (De-ddn)'!F$110/40)))</f>
        <v>#VALUE!</v>
      </c>
      <c r="Z34" s="57" t="e">
        <f>Y34*(1+'Rhaniad y Ddeiliadaeth (De-ddn)'!G$109)+(Y$44*(-(50-$B34)*('Rhaniad y Ddeiliadaeth (De-ddn)'!G$110/40)))</f>
        <v>#VALUE!</v>
      </c>
      <c r="AB34" s="1">
        <v>40</v>
      </c>
      <c r="AC34" s="4">
        <f>IF('Rhaniad y Ddeiliadaeth (Cymru)'!$D$8="Amcangyfrifon LlC",'Incwm (De-ddwyrain)'!D34,'Incwm (De-ddwyrain)'!V34)</f>
        <v>22473.94799635679</v>
      </c>
      <c r="AD34" s="4">
        <f>IF('Rhaniad y Ddeiliadaeth (Cymru)'!$D$8="Amcangyfrifon LlC",'Incwm (De-ddwyrain)'!E34,'Incwm (De-ddwyrain)'!W34)</f>
        <v>22983.756269033802</v>
      </c>
      <c r="AE34" s="4">
        <f>IF('Rhaniad y Ddeiliadaeth (Cymru)'!$D$8="Amcangyfrifon LlC",'Incwm (De-ddwyrain)'!F34,'Incwm (De-ddwyrain)'!X34)</f>
        <v>23667.91994385358</v>
      </c>
      <c r="AF34" s="4">
        <f>IF('Rhaniad y Ddeiliadaeth (Cymru)'!$D$8="Amcangyfrifon LlC",'Incwm (De-ddwyrain)'!G34,'Incwm (De-ddwyrain)'!Y34)</f>
        <v>24473.603429532115</v>
      </c>
      <c r="AG34" s="4">
        <f>IF('Rhaniad y Ddeiliadaeth (Cymru)'!$D$8="Amcangyfrifon LlC",'Incwm (De-ddwyrain)'!H34,'Incwm (De-ddwyrain)'!Z34)</f>
        <v>25330.389216386648</v>
      </c>
    </row>
    <row r="35" spans="2:33" x14ac:dyDescent="0.25">
      <c r="B35" s="20">
        <v>41</v>
      </c>
      <c r="C35" s="57">
        <v>22214.5</v>
      </c>
      <c r="D35" s="57">
        <f>C35*(1+'Rhaniad y Ddeiliadaeth (De-ddn)'!C$109)+(C$44*(-(50-$B35)*('Rhaniad y Ddeiliadaeth (De-ddn)'!C$110/40)))</f>
        <v>22941.260872739054</v>
      </c>
      <c r="E35" s="57">
        <f>D35*(1+'Rhaniad y Ddeiliadaeth (De-ddn)'!D$109)+(D$44*(-(50-$B35)*('Rhaniad y Ddeiliadaeth (De-ddn)'!D$110/40)))</f>
        <v>23469.886695168509</v>
      </c>
      <c r="F35" s="57">
        <f>E35*(1+'Rhaniad y Ddeiliadaeth (De-ddn)'!E$109)+(E$44*(-(50-$B35)*('Rhaniad y Ddeiliadaeth (De-ddn)'!E$110/40)))</f>
        <v>24176.974186726566</v>
      </c>
      <c r="G35" s="57">
        <f>F35*(1+'Rhaniad y Ddeiliadaeth (De-ddn)'!F$109)+(F$44*(-(50-$B35)*('Rhaniad y Ddeiliadaeth (De-ddn)'!F$110/40)))</f>
        <v>25008.742533381072</v>
      </c>
      <c r="H35" s="58">
        <f>G35*(1+'Rhaniad y Ddeiliadaeth (De-ddn)'!G$109)+(G$44*(-(50-$B35)*('Rhaniad y Ddeiliadaeth (De-ddn)'!G$110/40)))</f>
        <v>25893.370300786944</v>
      </c>
      <c r="L35" s="62" t="str">
        <f t="shared" si="0"/>
        <v/>
      </c>
      <c r="M35" s="227"/>
      <c r="N35" s="14">
        <f t="shared" si="3"/>
        <v>1</v>
      </c>
      <c r="T35" s="1">
        <f t="shared" si="1"/>
        <v>41</v>
      </c>
      <c r="U35" s="4" t="str">
        <f t="shared" si="2"/>
        <v/>
      </c>
      <c r="V35" s="57" t="e">
        <f>IF($K$4=$V$3,M35,U35*(1+'Rhaniad y Ddeiliadaeth (De-ddn)'!C$109)+(U$44*(-(50-$B35)*('Rhaniad y Ddeiliadaeth (De-ddn)'!C$110/40))))</f>
        <v>#VALUE!</v>
      </c>
      <c r="W35" s="57" t="e">
        <f>V35*(1+'Rhaniad y Ddeiliadaeth (De-ddn)'!D$109)+(V$44*(-(50-$B35)*('Rhaniad y Ddeiliadaeth (De-ddn)'!D$110/40)))</f>
        <v>#VALUE!</v>
      </c>
      <c r="X35" s="57" t="e">
        <f>W35*(1+'Rhaniad y Ddeiliadaeth (De-ddn)'!E$109)+(W$44*(-(50-$B35)*('Rhaniad y Ddeiliadaeth (De-ddn)'!E$110/40)))</f>
        <v>#VALUE!</v>
      </c>
      <c r="Y35" s="57" t="e">
        <f>X35*(1+'Rhaniad y Ddeiliadaeth (De-ddn)'!F$109)+(X$44*(-(50-$B35)*('Rhaniad y Ddeiliadaeth (De-ddn)'!F$110/40)))</f>
        <v>#VALUE!</v>
      </c>
      <c r="Z35" s="57" t="e">
        <f>Y35*(1+'Rhaniad y Ddeiliadaeth (De-ddn)'!G$109)+(Y$44*(-(50-$B35)*('Rhaniad y Ddeiliadaeth (De-ddn)'!G$110/40)))</f>
        <v>#VALUE!</v>
      </c>
      <c r="AB35" s="1">
        <v>41</v>
      </c>
      <c r="AC35" s="4">
        <f>IF('Rhaniad y Ddeiliadaeth (Cymru)'!$D$8="Amcangyfrifon LlC",'Incwm (De-ddwyrain)'!D35,'Incwm (De-ddwyrain)'!V35)</f>
        <v>22941.260872739054</v>
      </c>
      <c r="AD35" s="4">
        <f>IF('Rhaniad y Ddeiliadaeth (Cymru)'!$D$8="Amcangyfrifon LlC",'Incwm (De-ddwyrain)'!E35,'Incwm (De-ddwyrain)'!W35)</f>
        <v>23469.886695168509</v>
      </c>
      <c r="AE35" s="4">
        <f>IF('Rhaniad y Ddeiliadaeth (Cymru)'!$D$8="Amcangyfrifon LlC",'Incwm (De-ddwyrain)'!F35,'Incwm (De-ddwyrain)'!X35)</f>
        <v>24176.974186726566</v>
      </c>
      <c r="AF35" s="4">
        <f>IF('Rhaniad y Ddeiliadaeth (Cymru)'!$D$8="Amcangyfrifon LlC",'Incwm (De-ddwyrain)'!G35,'Incwm (De-ddwyrain)'!Y35)</f>
        <v>25008.742533381072</v>
      </c>
      <c r="AG35" s="4">
        <f>IF('Rhaniad y Ddeiliadaeth (Cymru)'!$D$8="Amcangyfrifon LlC",'Incwm (De-ddwyrain)'!H35,'Incwm (De-ddwyrain)'!Z35)</f>
        <v>25893.370300786944</v>
      </c>
    </row>
    <row r="36" spans="2:33" x14ac:dyDescent="0.25">
      <c r="B36" s="20">
        <v>42</v>
      </c>
      <c r="C36" s="57">
        <v>22725</v>
      </c>
      <c r="D36" s="57">
        <f>C36*(1+'Rhaniad y Ddeiliadaeth (De-ddn)'!C$109)+(C$44*(-(50-$B36)*('Rhaniad y Ddeiliadaeth (De-ddn)'!C$110/40)))</f>
        <v>23476.390966375344</v>
      </c>
      <c r="E36" s="57">
        <f>D36*(1+'Rhaniad y Ddeiliadaeth (De-ddn)'!D$109)+(D$44*(-(50-$B36)*('Rhaniad y Ddeiliadaeth (De-ddn)'!D$110/40)))</f>
        <v>24025.578000219288</v>
      </c>
      <c r="F36" s="57">
        <f>E36*(1+'Rhaniad y Ddeiliadaeth (De-ddn)'!E$109)+(E$44*(-(50-$B36)*('Rhaniad y Ddeiliadaeth (De-ddn)'!E$110/40)))</f>
        <v>24757.871114830166</v>
      </c>
      <c r="G36" s="57">
        <f>F36*(1+'Rhaniad y Ddeiliadaeth (De-ddn)'!F$109)+(F$44*(-(50-$B36)*('Rhaniad y Ddeiliadaeth (De-ddn)'!F$110/40)))</f>
        <v>25618.388669692711</v>
      </c>
      <c r="H36" s="58">
        <f>G36*(1+'Rhaniad y Ddeiliadaeth (De-ddn)'!G$109)+(G$44*(-(50-$B36)*('Rhaniad y Ddeiliadaeth (De-ddn)'!G$110/40)))</f>
        <v>26533.694320939463</v>
      </c>
      <c r="L36" s="62" t="str">
        <f t="shared" si="0"/>
        <v/>
      </c>
      <c r="M36" s="227"/>
      <c r="N36" s="14">
        <f t="shared" si="3"/>
        <v>1</v>
      </c>
      <c r="T36" s="1">
        <f t="shared" si="1"/>
        <v>42</v>
      </c>
      <c r="U36" s="4" t="str">
        <f t="shared" si="2"/>
        <v/>
      </c>
      <c r="V36" s="57" t="e">
        <f>IF($K$4=$V$3,M36,U36*(1+'Rhaniad y Ddeiliadaeth (De-ddn)'!C$109)+(U$44*(-(50-$B36)*('Rhaniad y Ddeiliadaeth (De-ddn)'!C$110/40))))</f>
        <v>#VALUE!</v>
      </c>
      <c r="W36" s="57" t="e">
        <f>V36*(1+'Rhaniad y Ddeiliadaeth (De-ddn)'!D$109)+(V$44*(-(50-$B36)*('Rhaniad y Ddeiliadaeth (De-ddn)'!D$110/40)))</f>
        <v>#VALUE!</v>
      </c>
      <c r="X36" s="57" t="e">
        <f>W36*(1+'Rhaniad y Ddeiliadaeth (De-ddn)'!E$109)+(W$44*(-(50-$B36)*('Rhaniad y Ddeiliadaeth (De-ddn)'!E$110/40)))</f>
        <v>#VALUE!</v>
      </c>
      <c r="Y36" s="57" t="e">
        <f>X36*(1+'Rhaniad y Ddeiliadaeth (De-ddn)'!F$109)+(X$44*(-(50-$B36)*('Rhaniad y Ddeiliadaeth (De-ddn)'!F$110/40)))</f>
        <v>#VALUE!</v>
      </c>
      <c r="Z36" s="57" t="e">
        <f>Y36*(1+'Rhaniad y Ddeiliadaeth (De-ddn)'!G$109)+(Y$44*(-(50-$B36)*('Rhaniad y Ddeiliadaeth (De-ddn)'!G$110/40)))</f>
        <v>#VALUE!</v>
      </c>
      <c r="AB36" s="1">
        <v>42</v>
      </c>
      <c r="AC36" s="4">
        <f>IF('Rhaniad y Ddeiliadaeth (Cymru)'!$D$8="Amcangyfrifon LlC",'Incwm (De-ddwyrain)'!D36,'Incwm (De-ddwyrain)'!V36)</f>
        <v>23476.390966375344</v>
      </c>
      <c r="AD36" s="4">
        <f>IF('Rhaniad y Ddeiliadaeth (Cymru)'!$D$8="Amcangyfrifon LlC",'Incwm (De-ddwyrain)'!E36,'Incwm (De-ddwyrain)'!W36)</f>
        <v>24025.578000219288</v>
      </c>
      <c r="AE36" s="4">
        <f>IF('Rhaniad y Ddeiliadaeth (Cymru)'!$D$8="Amcangyfrifon LlC",'Incwm (De-ddwyrain)'!F36,'Incwm (De-ddwyrain)'!X36)</f>
        <v>24757.871114830166</v>
      </c>
      <c r="AF36" s="4">
        <f>IF('Rhaniad y Ddeiliadaeth (Cymru)'!$D$8="Amcangyfrifon LlC",'Incwm (De-ddwyrain)'!G36,'Incwm (De-ddwyrain)'!Y36)</f>
        <v>25618.388669692711</v>
      </c>
      <c r="AG36" s="4">
        <f>IF('Rhaniad y Ddeiliadaeth (Cymru)'!$D$8="Amcangyfrifon LlC",'Incwm (De-ddwyrain)'!H36,'Incwm (De-ddwyrain)'!Z36)</f>
        <v>26533.694320939463</v>
      </c>
    </row>
    <row r="37" spans="2:33" x14ac:dyDescent="0.25">
      <c r="B37" s="20">
        <v>43</v>
      </c>
      <c r="C37" s="57">
        <v>23192</v>
      </c>
      <c r="D37" s="57">
        <f>C37*(1+'Rhaniad y Ddeiliadaeth (De-ddn)'!C$109)+(C$44*(-(50-$B37)*('Rhaniad y Ddeiliadaeth (De-ddn)'!C$110/40)))</f>
        <v>23966.482144736063</v>
      </c>
      <c r="E37" s="57">
        <f>D37*(1+'Rhaniad y Ddeiliadaeth (De-ddn)'!D$109)+(D$44*(-(50-$B37)*('Rhaniad y Ddeiliadaeth (De-ddn)'!D$110/40)))</f>
        <v>24535.072385684587</v>
      </c>
      <c r="F37" s="57">
        <f>E37*(1+'Rhaniad y Ddeiliadaeth (De-ddn)'!E$109)+(E$44*(-(50-$B37)*('Rhaniad y Ddeiliadaeth (De-ddn)'!E$110/40)))</f>
        <v>25291.055725261525</v>
      </c>
      <c r="G37" s="57">
        <f>F37*(1+'Rhaniad y Ddeiliadaeth (De-ddn)'!F$109)+(F$44*(-(50-$B37)*('Rhaniad y Ddeiliadaeth (De-ddn)'!F$110/40)))</f>
        <v>26178.553036353558</v>
      </c>
      <c r="H37" s="58">
        <f>G37*(1+'Rhaniad y Ddeiliadaeth (De-ddn)'!G$109)+(G$44*(-(50-$B37)*('Rhaniad y Ddeiliadaeth (De-ddn)'!G$110/40)))</f>
        <v>27122.653185287068</v>
      </c>
      <c r="L37" s="62" t="str">
        <f t="shared" si="0"/>
        <v/>
      </c>
      <c r="M37" s="227"/>
      <c r="N37" s="14">
        <f t="shared" si="3"/>
        <v>1</v>
      </c>
      <c r="T37" s="1">
        <f t="shared" si="1"/>
        <v>43</v>
      </c>
      <c r="U37" s="4" t="str">
        <f t="shared" si="2"/>
        <v/>
      </c>
      <c r="V37" s="57" t="e">
        <f>IF($K$4=$V$3,M37,U37*(1+'Rhaniad y Ddeiliadaeth (De-ddn)'!C$109)+(U$44*(-(50-$B37)*('Rhaniad y Ddeiliadaeth (De-ddn)'!C$110/40))))</f>
        <v>#VALUE!</v>
      </c>
      <c r="W37" s="57" t="e">
        <f>V37*(1+'Rhaniad y Ddeiliadaeth (De-ddn)'!D$109)+(V$44*(-(50-$B37)*('Rhaniad y Ddeiliadaeth (De-ddn)'!D$110/40)))</f>
        <v>#VALUE!</v>
      </c>
      <c r="X37" s="57" t="e">
        <f>W37*(1+'Rhaniad y Ddeiliadaeth (De-ddn)'!E$109)+(W$44*(-(50-$B37)*('Rhaniad y Ddeiliadaeth (De-ddn)'!E$110/40)))</f>
        <v>#VALUE!</v>
      </c>
      <c r="Y37" s="57" t="e">
        <f>X37*(1+'Rhaniad y Ddeiliadaeth (De-ddn)'!F$109)+(X$44*(-(50-$B37)*('Rhaniad y Ddeiliadaeth (De-ddn)'!F$110/40)))</f>
        <v>#VALUE!</v>
      </c>
      <c r="Z37" s="57" t="e">
        <f>Y37*(1+'Rhaniad y Ddeiliadaeth (De-ddn)'!G$109)+(Y$44*(-(50-$B37)*('Rhaniad y Ddeiliadaeth (De-ddn)'!G$110/40)))</f>
        <v>#VALUE!</v>
      </c>
      <c r="AB37" s="1">
        <v>43</v>
      </c>
      <c r="AC37" s="4">
        <f>IF('Rhaniad y Ddeiliadaeth (Cymru)'!$D$8="Amcangyfrifon LlC",'Incwm (De-ddwyrain)'!D37,'Incwm (De-ddwyrain)'!V37)</f>
        <v>23966.482144736063</v>
      </c>
      <c r="AD37" s="4">
        <f>IF('Rhaniad y Ddeiliadaeth (Cymru)'!$D$8="Amcangyfrifon LlC",'Incwm (De-ddwyrain)'!E37,'Incwm (De-ddwyrain)'!W37)</f>
        <v>24535.072385684587</v>
      </c>
      <c r="AE37" s="4">
        <f>IF('Rhaniad y Ddeiliadaeth (Cymru)'!$D$8="Amcangyfrifon LlC",'Incwm (De-ddwyrain)'!F37,'Incwm (De-ddwyrain)'!X37)</f>
        <v>25291.055725261525</v>
      </c>
      <c r="AF37" s="4">
        <f>IF('Rhaniad y Ddeiliadaeth (Cymru)'!$D$8="Amcangyfrifon LlC",'Incwm (De-ddwyrain)'!G37,'Incwm (De-ddwyrain)'!Y37)</f>
        <v>26178.553036353558</v>
      </c>
      <c r="AG37" s="4">
        <f>IF('Rhaniad y Ddeiliadaeth (Cymru)'!$D$8="Amcangyfrifon LlC",'Incwm (De-ddwyrain)'!H37,'Incwm (De-ddwyrain)'!Z37)</f>
        <v>27122.653185287068</v>
      </c>
    </row>
    <row r="38" spans="2:33" x14ac:dyDescent="0.25">
      <c r="B38" s="20">
        <v>44</v>
      </c>
      <c r="C38" s="57">
        <v>23737.5</v>
      </c>
      <c r="D38" s="57">
        <f>C38*(1+'Rhaniad y Ddeiliadaeth (De-ddn)'!C$109)+(C$44*(-(50-$B38)*('Rhaniad y Ddeiliadaeth (De-ddn)'!C$110/40)))</f>
        <v>24537.850446065335</v>
      </c>
      <c r="E38" s="57">
        <f>D38*(1+'Rhaniad y Ddeiliadaeth (De-ddn)'!D$109)+(D$44*(-(50-$B38)*('Rhaniad y Ddeiliadaeth (De-ddn)'!D$110/40)))</f>
        <v>25127.933626034031</v>
      </c>
      <c r="F38" s="57">
        <f>E38*(1+'Rhaniad y Ddeiliadaeth (De-ddn)'!E$109)+(E$44*(-(50-$B38)*('Rhaniad y Ddeiliadaeth (De-ddn)'!E$110/40)))</f>
        <v>25910.341874480728</v>
      </c>
      <c r="G38" s="57">
        <f>F38*(1+'Rhaniad y Ddeiliadaeth (De-ddn)'!F$109)+(F$44*(-(50-$B38)*('Rhaniad y Ddeiliadaeth (De-ddn)'!F$110/40)))</f>
        <v>26828.012090775032</v>
      </c>
      <c r="H38" s="58">
        <f>G38*(1+'Rhaniad y Ddeiliadaeth (De-ddn)'!G$109)+(G$44*(-(50-$B38)*('Rhaniad y Ddeiliadaeth (De-ddn)'!G$110/40)))</f>
        <v>27804.305491719406</v>
      </c>
      <c r="L38" s="62" t="str">
        <f t="shared" si="0"/>
        <v/>
      </c>
      <c r="M38" s="227"/>
      <c r="N38" s="14">
        <f t="shared" si="3"/>
        <v>1</v>
      </c>
      <c r="T38" s="1">
        <f t="shared" si="1"/>
        <v>44</v>
      </c>
      <c r="U38" s="4" t="str">
        <f t="shared" si="2"/>
        <v/>
      </c>
      <c r="V38" s="57" t="e">
        <f>IF($K$4=$V$3,M38,U38*(1+'Rhaniad y Ddeiliadaeth (De-ddn)'!C$109)+(U$44*(-(50-$B38)*('Rhaniad y Ddeiliadaeth (De-ddn)'!C$110/40))))</f>
        <v>#VALUE!</v>
      </c>
      <c r="W38" s="57" t="e">
        <f>V38*(1+'Rhaniad y Ddeiliadaeth (De-ddn)'!D$109)+(V$44*(-(50-$B38)*('Rhaniad y Ddeiliadaeth (De-ddn)'!D$110/40)))</f>
        <v>#VALUE!</v>
      </c>
      <c r="X38" s="57" t="e">
        <f>W38*(1+'Rhaniad y Ddeiliadaeth (De-ddn)'!E$109)+(W$44*(-(50-$B38)*('Rhaniad y Ddeiliadaeth (De-ddn)'!E$110/40)))</f>
        <v>#VALUE!</v>
      </c>
      <c r="Y38" s="57" t="e">
        <f>X38*(1+'Rhaniad y Ddeiliadaeth (De-ddn)'!F$109)+(X$44*(-(50-$B38)*('Rhaniad y Ddeiliadaeth (De-ddn)'!F$110/40)))</f>
        <v>#VALUE!</v>
      </c>
      <c r="Z38" s="57" t="e">
        <f>Y38*(1+'Rhaniad y Ddeiliadaeth (De-ddn)'!G$109)+(Y$44*(-(50-$B38)*('Rhaniad y Ddeiliadaeth (De-ddn)'!G$110/40)))</f>
        <v>#VALUE!</v>
      </c>
      <c r="AB38" s="1">
        <v>44</v>
      </c>
      <c r="AC38" s="4">
        <f>IF('Rhaniad y Ddeiliadaeth (Cymru)'!$D$8="Amcangyfrifon LlC",'Incwm (De-ddwyrain)'!D38,'Incwm (De-ddwyrain)'!V38)</f>
        <v>24537.850446065335</v>
      </c>
      <c r="AD38" s="4">
        <f>IF('Rhaniad y Ddeiliadaeth (Cymru)'!$D$8="Amcangyfrifon LlC",'Incwm (De-ddwyrain)'!E38,'Incwm (De-ddwyrain)'!W38)</f>
        <v>25127.933626034031</v>
      </c>
      <c r="AE38" s="4">
        <f>IF('Rhaniad y Ddeiliadaeth (Cymru)'!$D$8="Amcangyfrifon LlC",'Incwm (De-ddwyrain)'!F38,'Incwm (De-ddwyrain)'!X38)</f>
        <v>25910.341874480728</v>
      </c>
      <c r="AF38" s="4">
        <f>IF('Rhaniad y Ddeiliadaeth (Cymru)'!$D$8="Amcangyfrifon LlC",'Incwm (De-ddwyrain)'!G38,'Incwm (De-ddwyrain)'!Y38)</f>
        <v>26828.012090775032</v>
      </c>
      <c r="AG38" s="4">
        <f>IF('Rhaniad y Ddeiliadaeth (Cymru)'!$D$8="Amcangyfrifon LlC",'Incwm (De-ddwyrain)'!H38,'Incwm (De-ddwyrain)'!Z38)</f>
        <v>27804.305491719406</v>
      </c>
    </row>
    <row r="39" spans="2:33" x14ac:dyDescent="0.25">
      <c r="B39" s="20">
        <v>45</v>
      </c>
      <c r="C39" s="57">
        <v>24264.5</v>
      </c>
      <c r="D39" s="57">
        <f>C39*(1+'Rhaniad y Ddeiliadaeth (De-ddn)'!C$109)+(C$44*(-(50-$B39)*('Rhaniad y Ddeiliadaeth (De-ddn)'!C$110/40)))</f>
        <v>25090.064266185458</v>
      </c>
      <c r="E39" s="57">
        <f>D39*(1+'Rhaniad y Ddeiliadaeth (De-ddn)'!D$109)+(D$44*(-(50-$B39)*('Rhaniad y Ddeiliadaeth (De-ddn)'!D$110/40)))</f>
        <v>25701.147900582753</v>
      </c>
      <c r="F39" s="57">
        <f>E39*(1+'Rhaniad y Ddeiliadaeth (De-ddn)'!E$109)+(E$44*(-(50-$B39)*('Rhaniad y Ddeiliadaeth (De-ddn)'!E$110/40)))</f>
        <v>26509.336578253111</v>
      </c>
      <c r="G39" s="57">
        <f>F39*(1+'Rhaniad y Ddeiliadaeth (De-ddn)'!F$109)+(F$44*(-(50-$B39)*('Rhaniad y Ddeiliadaeth (De-ddn)'!F$110/40)))</f>
        <v>27456.427174195593</v>
      </c>
      <c r="H39" s="58">
        <f>G39*(1+'Rhaniad y Ddeiliadaeth (De-ddn)'!G$109)+(G$44*(-(50-$B39)*('Rhaniad y Ddeiliadaeth (De-ddn)'!G$110/40)))</f>
        <v>28464.112846832413</v>
      </c>
      <c r="L39" s="62" t="str">
        <f t="shared" si="0"/>
        <v/>
      </c>
      <c r="M39" s="227"/>
      <c r="N39" s="14">
        <f t="shared" si="3"/>
        <v>1</v>
      </c>
      <c r="T39" s="1">
        <f t="shared" si="1"/>
        <v>45</v>
      </c>
      <c r="U39" s="4" t="str">
        <f t="shared" si="2"/>
        <v/>
      </c>
      <c r="V39" s="57" t="e">
        <f>IF($K$4=$V$3,M39,U39*(1+'Rhaniad y Ddeiliadaeth (De-ddn)'!C$109)+(U$44*(-(50-$B39)*('Rhaniad y Ddeiliadaeth (De-ddn)'!C$110/40))))</f>
        <v>#VALUE!</v>
      </c>
      <c r="W39" s="57" t="e">
        <f>V39*(1+'Rhaniad y Ddeiliadaeth (De-ddn)'!D$109)+(V$44*(-(50-$B39)*('Rhaniad y Ddeiliadaeth (De-ddn)'!D$110/40)))</f>
        <v>#VALUE!</v>
      </c>
      <c r="X39" s="57" t="e">
        <f>W39*(1+'Rhaniad y Ddeiliadaeth (De-ddn)'!E$109)+(W$44*(-(50-$B39)*('Rhaniad y Ddeiliadaeth (De-ddn)'!E$110/40)))</f>
        <v>#VALUE!</v>
      </c>
      <c r="Y39" s="57" t="e">
        <f>X39*(1+'Rhaniad y Ddeiliadaeth (De-ddn)'!F$109)+(X$44*(-(50-$B39)*('Rhaniad y Ddeiliadaeth (De-ddn)'!F$110/40)))</f>
        <v>#VALUE!</v>
      </c>
      <c r="Z39" s="57" t="e">
        <f>Y39*(1+'Rhaniad y Ddeiliadaeth (De-ddn)'!G$109)+(Y$44*(-(50-$B39)*('Rhaniad y Ddeiliadaeth (De-ddn)'!G$110/40)))</f>
        <v>#VALUE!</v>
      </c>
      <c r="AB39" s="1">
        <v>45</v>
      </c>
      <c r="AC39" s="4">
        <f>IF('Rhaniad y Ddeiliadaeth (Cymru)'!$D$8="Amcangyfrifon LlC",'Incwm (De-ddwyrain)'!D39,'Incwm (De-ddwyrain)'!V39)</f>
        <v>25090.064266185458</v>
      </c>
      <c r="AD39" s="4">
        <f>IF('Rhaniad y Ddeiliadaeth (Cymru)'!$D$8="Amcangyfrifon LlC",'Incwm (De-ddwyrain)'!E39,'Incwm (De-ddwyrain)'!W39)</f>
        <v>25701.147900582753</v>
      </c>
      <c r="AE39" s="4">
        <f>IF('Rhaniad y Ddeiliadaeth (Cymru)'!$D$8="Amcangyfrifon LlC",'Incwm (De-ddwyrain)'!F39,'Incwm (De-ddwyrain)'!X39)</f>
        <v>26509.336578253111</v>
      </c>
      <c r="AF39" s="4">
        <f>IF('Rhaniad y Ddeiliadaeth (Cymru)'!$D$8="Amcangyfrifon LlC",'Incwm (De-ddwyrain)'!G39,'Incwm (De-ddwyrain)'!Y39)</f>
        <v>27456.427174195593</v>
      </c>
      <c r="AG39" s="4">
        <f>IF('Rhaniad y Ddeiliadaeth (Cymru)'!$D$8="Amcangyfrifon LlC",'Incwm (De-ddwyrain)'!H39,'Incwm (De-ddwyrain)'!Z39)</f>
        <v>28464.112846832413</v>
      </c>
    </row>
    <row r="40" spans="2:33" x14ac:dyDescent="0.25">
      <c r="B40" s="20">
        <v>46</v>
      </c>
      <c r="C40" s="57">
        <v>24759.82</v>
      </c>
      <c r="D40" s="57">
        <f>C40*(1+'Rhaniad y Ddeiliadaeth (De-ddn)'!C$109)+(C$44*(-(50-$B40)*('Rhaniad y Ddeiliadaeth (De-ddn)'!C$110/40)))</f>
        <v>25609.477331456616</v>
      </c>
      <c r="E40" s="57">
        <f>D40*(1+'Rhaniad y Ddeiliadaeth (De-ddn)'!D$109)+(D$44*(-(50-$B40)*('Rhaniad y Ddeiliadaeth (De-ddn)'!D$110/40)))</f>
        <v>26240.718073695421</v>
      </c>
      <c r="F40" s="57">
        <f>E40*(1+'Rhaniad y Ddeiliadaeth (De-ddn)'!E$109)+(E$44*(-(50-$B40)*('Rhaniad y Ddeiliadaeth (De-ddn)'!E$110/40)))</f>
        <v>27073.583552741427</v>
      </c>
      <c r="G40" s="57">
        <f>F40*(1+'Rhaniad y Ddeiliadaeth (De-ddn)'!F$109)+(F$44*(-(50-$B40)*('Rhaniad y Ddeiliadaeth (De-ddn)'!F$110/40)))</f>
        <v>28048.805879167023</v>
      </c>
      <c r="H40" s="58">
        <f>G40*(1+'Rhaniad y Ddeiliadaeth (De-ddn)'!G$109)+(G$44*(-(50-$B40)*('Rhaniad y Ddeiliadaeth (De-ddn)'!G$110/40)))</f>
        <v>29086.512198821285</v>
      </c>
      <c r="L40" s="62" t="str">
        <f t="shared" si="0"/>
        <v/>
      </c>
      <c r="M40" s="227"/>
      <c r="N40" s="14">
        <f t="shared" si="3"/>
        <v>1</v>
      </c>
      <c r="T40" s="1">
        <f t="shared" si="1"/>
        <v>46</v>
      </c>
      <c r="U40" s="4" t="str">
        <f t="shared" si="2"/>
        <v/>
      </c>
      <c r="V40" s="57" t="e">
        <f>IF($K$4=$V$3,M40,U40*(1+'Rhaniad y Ddeiliadaeth (De-ddn)'!C$109)+(U$44*(-(50-$B40)*('Rhaniad y Ddeiliadaeth (De-ddn)'!C$110/40))))</f>
        <v>#VALUE!</v>
      </c>
      <c r="W40" s="57" t="e">
        <f>V40*(1+'Rhaniad y Ddeiliadaeth (De-ddn)'!D$109)+(V$44*(-(50-$B40)*('Rhaniad y Ddeiliadaeth (De-ddn)'!D$110/40)))</f>
        <v>#VALUE!</v>
      </c>
      <c r="X40" s="57" t="e">
        <f>W40*(1+'Rhaniad y Ddeiliadaeth (De-ddn)'!E$109)+(W$44*(-(50-$B40)*('Rhaniad y Ddeiliadaeth (De-ddn)'!E$110/40)))</f>
        <v>#VALUE!</v>
      </c>
      <c r="Y40" s="57" t="e">
        <f>X40*(1+'Rhaniad y Ddeiliadaeth (De-ddn)'!F$109)+(X$44*(-(50-$B40)*('Rhaniad y Ddeiliadaeth (De-ddn)'!F$110/40)))</f>
        <v>#VALUE!</v>
      </c>
      <c r="Z40" s="57" t="e">
        <f>Y40*(1+'Rhaniad y Ddeiliadaeth (De-ddn)'!G$109)+(Y$44*(-(50-$B40)*('Rhaniad y Ddeiliadaeth (De-ddn)'!G$110/40)))</f>
        <v>#VALUE!</v>
      </c>
      <c r="AB40" s="1">
        <v>46</v>
      </c>
      <c r="AC40" s="4">
        <f>IF('Rhaniad y Ddeiliadaeth (Cymru)'!$D$8="Amcangyfrifon LlC",'Incwm (De-ddwyrain)'!D40,'Incwm (De-ddwyrain)'!V40)</f>
        <v>25609.477331456616</v>
      </c>
      <c r="AD40" s="4">
        <f>IF('Rhaniad y Ddeiliadaeth (Cymru)'!$D$8="Amcangyfrifon LlC",'Incwm (De-ddwyrain)'!E40,'Incwm (De-ddwyrain)'!W40)</f>
        <v>26240.718073695421</v>
      </c>
      <c r="AE40" s="4">
        <f>IF('Rhaniad y Ddeiliadaeth (Cymru)'!$D$8="Amcangyfrifon LlC",'Incwm (De-ddwyrain)'!F40,'Incwm (De-ddwyrain)'!X40)</f>
        <v>27073.583552741427</v>
      </c>
      <c r="AF40" s="4">
        <f>IF('Rhaniad y Ddeiliadaeth (Cymru)'!$D$8="Amcangyfrifon LlC",'Incwm (De-ddwyrain)'!G40,'Incwm (De-ddwyrain)'!Y40)</f>
        <v>28048.805879167023</v>
      </c>
      <c r="AG40" s="4">
        <f>IF('Rhaniad y Ddeiliadaeth (Cymru)'!$D$8="Amcangyfrifon LlC",'Incwm (De-ddwyrain)'!H40,'Incwm (De-ddwyrain)'!Z40)</f>
        <v>29086.512198821285</v>
      </c>
    </row>
    <row r="41" spans="2:33" x14ac:dyDescent="0.25">
      <c r="B41" s="20">
        <v>47</v>
      </c>
      <c r="C41" s="57">
        <v>24969.25</v>
      </c>
      <c r="D41" s="57">
        <f>C41*(1+'Rhaniad y Ddeiliadaeth (De-ddn)'!C$109)+(C$44*(-(50-$B41)*('Rhaniad y Ddeiliadaeth (De-ddn)'!C$110/40)))</f>
        <v>25832.886362517824</v>
      </c>
      <c r="E41" s="57">
        <f>D41*(1+'Rhaniad y Ddeiliadaeth (De-ddn)'!D$109)+(D$44*(-(50-$B41)*('Rhaniad y Ddeiliadaeth (De-ddn)'!D$110/40)))</f>
        <v>26476.673595307089</v>
      </c>
      <c r="F41" s="57">
        <f>E41*(1+'Rhaniad y Ddeiliadaeth (De-ddn)'!E$109)+(E$44*(-(50-$B41)*('Rhaniad y Ddeiliadaeth (De-ddn)'!E$110/40)))</f>
        <v>27324.256400808656</v>
      </c>
      <c r="G41" s="57">
        <f>F41*(1+'Rhaniad y Ddeiliadaeth (De-ddn)'!F$109)+(F$44*(-(50-$B41)*('Rhaniad y Ddeiliadaeth (De-ddn)'!F$110/40)))</f>
        <v>28315.981293897879</v>
      </c>
      <c r="H41" s="58">
        <f>G41*(1+'Rhaniad y Ddeiliadaeth (De-ddn)'!G$109)+(G$44*(-(50-$B41)*('Rhaniad y Ddeiliadaeth (De-ddn)'!G$110/40)))</f>
        <v>29371.330300394824</v>
      </c>
      <c r="L41" s="62" t="str">
        <f t="shared" si="0"/>
        <v/>
      </c>
      <c r="M41" s="227"/>
      <c r="N41" s="14">
        <f t="shared" si="3"/>
        <v>1</v>
      </c>
      <c r="T41" s="1">
        <f t="shared" si="1"/>
        <v>47</v>
      </c>
      <c r="U41" s="4" t="str">
        <f t="shared" si="2"/>
        <v/>
      </c>
      <c r="V41" s="57" t="e">
        <f>IF($K$4=$V$3,M41,U41*(1+'Rhaniad y Ddeiliadaeth (De-ddn)'!C$109)+(U$44*(-(50-$B41)*('Rhaniad y Ddeiliadaeth (De-ddn)'!C$110/40))))</f>
        <v>#VALUE!</v>
      </c>
      <c r="W41" s="57" t="e">
        <f>V41*(1+'Rhaniad y Ddeiliadaeth (De-ddn)'!D$109)+(V$44*(-(50-$B41)*('Rhaniad y Ddeiliadaeth (De-ddn)'!D$110/40)))</f>
        <v>#VALUE!</v>
      </c>
      <c r="X41" s="57" t="e">
        <f>W41*(1+'Rhaniad y Ddeiliadaeth (De-ddn)'!E$109)+(W$44*(-(50-$B41)*('Rhaniad y Ddeiliadaeth (De-ddn)'!E$110/40)))</f>
        <v>#VALUE!</v>
      </c>
      <c r="Y41" s="57" t="e">
        <f>X41*(1+'Rhaniad y Ddeiliadaeth (De-ddn)'!F$109)+(X$44*(-(50-$B41)*('Rhaniad y Ddeiliadaeth (De-ddn)'!F$110/40)))</f>
        <v>#VALUE!</v>
      </c>
      <c r="Z41" s="57" t="e">
        <f>Y41*(1+'Rhaniad y Ddeiliadaeth (De-ddn)'!G$109)+(Y$44*(-(50-$B41)*('Rhaniad y Ddeiliadaeth (De-ddn)'!G$110/40)))</f>
        <v>#VALUE!</v>
      </c>
      <c r="AB41" s="1">
        <v>47</v>
      </c>
      <c r="AC41" s="4">
        <f>IF('Rhaniad y Ddeiliadaeth (Cymru)'!$D$8="Amcangyfrifon LlC",'Incwm (De-ddwyrain)'!D41,'Incwm (De-ddwyrain)'!V41)</f>
        <v>25832.886362517824</v>
      </c>
      <c r="AD41" s="4">
        <f>IF('Rhaniad y Ddeiliadaeth (Cymru)'!$D$8="Amcangyfrifon LlC",'Incwm (De-ddwyrain)'!E41,'Incwm (De-ddwyrain)'!W41)</f>
        <v>26476.673595307089</v>
      </c>
      <c r="AE41" s="4">
        <f>IF('Rhaniad y Ddeiliadaeth (Cymru)'!$D$8="Amcangyfrifon LlC",'Incwm (De-ddwyrain)'!F41,'Incwm (De-ddwyrain)'!X41)</f>
        <v>27324.256400808656</v>
      </c>
      <c r="AF41" s="4">
        <f>IF('Rhaniad y Ddeiliadaeth (Cymru)'!$D$8="Amcangyfrifon LlC",'Incwm (De-ddwyrain)'!G41,'Incwm (De-ddwyrain)'!Y41)</f>
        <v>28315.981293897879</v>
      </c>
      <c r="AG41" s="4">
        <f>IF('Rhaniad y Ddeiliadaeth (Cymru)'!$D$8="Amcangyfrifon LlC",'Incwm (De-ddwyrain)'!H41,'Incwm (De-ddwyrain)'!Z41)</f>
        <v>29371.330300394824</v>
      </c>
    </row>
    <row r="42" spans="2:33" x14ac:dyDescent="0.25">
      <c r="B42" s="20">
        <v>48</v>
      </c>
      <c r="C42" s="57">
        <v>25525</v>
      </c>
      <c r="D42" s="57">
        <f>C42*(1+'Rhaniad y Ddeiliadaeth (De-ddn)'!C$109)+(C$44*(-(50-$B42)*('Rhaniad y Ddeiliadaeth (De-ddn)'!C$110/40)))</f>
        <v>26414.867281814331</v>
      </c>
      <c r="E42" s="57">
        <f>D42*(1+'Rhaniad y Ddeiliadaeth (De-ddn)'!D$109)+(D$44*(-(50-$B42)*('Rhaniad y Ddeiliadaeth (De-ddn)'!D$110/40)))</f>
        <v>27080.420316708289</v>
      </c>
      <c r="F42" s="57">
        <f>E42*(1+'Rhaniad y Ddeiliadaeth (De-ddn)'!E$109)+(E$44*(-(50-$B42)*('Rhaniad y Ddeiliadaeth (De-ddn)'!E$110/40)))</f>
        <v>27954.785107640284</v>
      </c>
      <c r="G42" s="57">
        <f>F42*(1+'Rhaniad y Ddeiliadaeth (De-ddn)'!F$109)+(F$44*(-(50-$B42)*('Rhaniad y Ddeiliadaeth (De-ddn)'!F$110/40)))</f>
        <v>28977.099845765806</v>
      </c>
      <c r="H42" s="58">
        <f>G42*(1+'Rhaniad y Ddeiliadaeth (De-ddn)'!G$109)+(G$44*(-(50-$B42)*('Rhaniad y Ddeiliadaeth (De-ddn)'!G$110/40)))</f>
        <v>30065.085890666251</v>
      </c>
      <c r="L42" s="62" t="str">
        <f t="shared" si="0"/>
        <v/>
      </c>
      <c r="M42" s="227"/>
      <c r="N42" s="14">
        <f t="shared" si="3"/>
        <v>1</v>
      </c>
      <c r="T42" s="1">
        <f t="shared" si="1"/>
        <v>48</v>
      </c>
      <c r="U42" s="4" t="str">
        <f t="shared" si="2"/>
        <v/>
      </c>
      <c r="V42" s="57" t="e">
        <f>IF($K$4=$V$3,M42,U42*(1+'Rhaniad y Ddeiliadaeth (De-ddn)'!C$109)+(U$44*(-(50-$B42)*('Rhaniad y Ddeiliadaeth (De-ddn)'!C$110/40))))</f>
        <v>#VALUE!</v>
      </c>
      <c r="W42" s="57" t="e">
        <f>V42*(1+'Rhaniad y Ddeiliadaeth (De-ddn)'!D$109)+(V$44*(-(50-$B42)*('Rhaniad y Ddeiliadaeth (De-ddn)'!D$110/40)))</f>
        <v>#VALUE!</v>
      </c>
      <c r="X42" s="57" t="e">
        <f>W42*(1+'Rhaniad y Ddeiliadaeth (De-ddn)'!E$109)+(W$44*(-(50-$B42)*('Rhaniad y Ddeiliadaeth (De-ddn)'!E$110/40)))</f>
        <v>#VALUE!</v>
      </c>
      <c r="Y42" s="57" t="e">
        <f>X42*(1+'Rhaniad y Ddeiliadaeth (De-ddn)'!F$109)+(X$44*(-(50-$B42)*('Rhaniad y Ddeiliadaeth (De-ddn)'!F$110/40)))</f>
        <v>#VALUE!</v>
      </c>
      <c r="Z42" s="57" t="e">
        <f>Y42*(1+'Rhaniad y Ddeiliadaeth (De-ddn)'!G$109)+(Y$44*(-(50-$B42)*('Rhaniad y Ddeiliadaeth (De-ddn)'!G$110/40)))</f>
        <v>#VALUE!</v>
      </c>
      <c r="AB42" s="1">
        <v>48</v>
      </c>
      <c r="AC42" s="4">
        <f>IF('Rhaniad y Ddeiliadaeth (Cymru)'!$D$8="Amcangyfrifon LlC",'Incwm (De-ddwyrain)'!D42,'Incwm (De-ddwyrain)'!V42)</f>
        <v>26414.867281814331</v>
      </c>
      <c r="AD42" s="4">
        <f>IF('Rhaniad y Ddeiliadaeth (Cymru)'!$D$8="Amcangyfrifon LlC",'Incwm (De-ddwyrain)'!E42,'Incwm (De-ddwyrain)'!W42)</f>
        <v>27080.420316708289</v>
      </c>
      <c r="AE42" s="4">
        <f>IF('Rhaniad y Ddeiliadaeth (Cymru)'!$D$8="Amcangyfrifon LlC",'Incwm (De-ddwyrain)'!F42,'Incwm (De-ddwyrain)'!X42)</f>
        <v>27954.785107640284</v>
      </c>
      <c r="AF42" s="4">
        <f>IF('Rhaniad y Ddeiliadaeth (Cymru)'!$D$8="Amcangyfrifon LlC",'Incwm (De-ddwyrain)'!G42,'Incwm (De-ddwyrain)'!Y42)</f>
        <v>28977.099845765806</v>
      </c>
      <c r="AG42" s="4">
        <f>IF('Rhaniad y Ddeiliadaeth (Cymru)'!$D$8="Amcangyfrifon LlC",'Incwm (De-ddwyrain)'!H42,'Incwm (De-ddwyrain)'!Z42)</f>
        <v>30065.085890666251</v>
      </c>
    </row>
    <row r="43" spans="2:33" x14ac:dyDescent="0.25">
      <c r="B43" s="20">
        <v>49</v>
      </c>
      <c r="C43" s="57">
        <v>25915</v>
      </c>
      <c r="D43" s="57">
        <f>C43*(1+'Rhaniad y Ddeiliadaeth (De-ddn)'!C$109)+(C$44*(-(50-$B43)*('Rhaniad y Ddeiliadaeth (De-ddn)'!C$110/40)))</f>
        <v>26825.234403250473</v>
      </c>
      <c r="E43" s="57">
        <f>D43*(1+'Rhaniad y Ddeiliadaeth (De-ddn)'!D$109)+(D$44*(-(50-$B43)*('Rhaniad y Ddeiliadaeth (De-ddn)'!D$110/40)))</f>
        <v>27508.140844516518</v>
      </c>
      <c r="F43" s="57">
        <f>E43*(1+'Rhaniad y Ddeiliadaeth (De-ddn)'!E$109)+(E$44*(-(50-$B43)*('Rhaniad y Ddeiliadaeth (De-ddn)'!E$110/40)))</f>
        <v>28403.513431617321</v>
      </c>
      <c r="G43" s="57">
        <f>F43*(1+'Rhaniad y Ddeiliadaeth (De-ddn)'!F$109)+(F$44*(-(50-$B43)*('Rhaniad y Ddeiliadaeth (De-ddn)'!F$110/40)))</f>
        <v>29449.675792585018</v>
      </c>
      <c r="H43" s="58">
        <f>G43*(1+'Rhaniad y Ddeiliadaeth (De-ddn)'!G$109)+(G$44*(-(50-$B43)*('Rhaniad y Ddeiliadaeth (De-ddn)'!G$110/40)))</f>
        <v>30563.122525198258</v>
      </c>
      <c r="L43" s="62" t="str">
        <f t="shared" si="0"/>
        <v/>
      </c>
      <c r="M43" s="227"/>
      <c r="N43" s="14">
        <f t="shared" si="3"/>
        <v>1</v>
      </c>
      <c r="T43" s="1">
        <f t="shared" si="1"/>
        <v>49</v>
      </c>
      <c r="U43" s="4" t="str">
        <f t="shared" si="2"/>
        <v/>
      </c>
      <c r="V43" s="57" t="e">
        <f>IF($K$4=$V$3,M43,U43*(1+'Rhaniad y Ddeiliadaeth (De-ddn)'!C$109)+(U$44*(-(50-$B43)*('Rhaniad y Ddeiliadaeth (De-ddn)'!C$110/40))))</f>
        <v>#VALUE!</v>
      </c>
      <c r="W43" s="57" t="e">
        <f>V43*(1+'Rhaniad y Ddeiliadaeth (De-ddn)'!D$109)+(V$44*(-(50-$B43)*('Rhaniad y Ddeiliadaeth (De-ddn)'!D$110/40)))</f>
        <v>#VALUE!</v>
      </c>
      <c r="X43" s="57" t="e">
        <f>W43*(1+'Rhaniad y Ddeiliadaeth (De-ddn)'!E$109)+(W$44*(-(50-$B43)*('Rhaniad y Ddeiliadaeth (De-ddn)'!E$110/40)))</f>
        <v>#VALUE!</v>
      </c>
      <c r="Y43" s="57" t="e">
        <f>X43*(1+'Rhaniad y Ddeiliadaeth (De-ddn)'!F$109)+(X$44*(-(50-$B43)*('Rhaniad y Ddeiliadaeth (De-ddn)'!F$110/40)))</f>
        <v>#VALUE!</v>
      </c>
      <c r="Z43" s="57" t="e">
        <f>Y43*(1+'Rhaniad y Ddeiliadaeth (De-ddn)'!G$109)+(Y$44*(-(50-$B43)*('Rhaniad y Ddeiliadaeth (De-ddn)'!G$110/40)))</f>
        <v>#VALUE!</v>
      </c>
      <c r="AB43" s="1">
        <v>49</v>
      </c>
      <c r="AC43" s="4">
        <f>IF('Rhaniad y Ddeiliadaeth (Cymru)'!$D$8="Amcangyfrifon LlC",'Incwm (De-ddwyrain)'!D43,'Incwm (De-ddwyrain)'!V43)</f>
        <v>26825.234403250473</v>
      </c>
      <c r="AD43" s="4">
        <f>IF('Rhaniad y Ddeiliadaeth (Cymru)'!$D$8="Amcangyfrifon LlC",'Incwm (De-ddwyrain)'!E43,'Incwm (De-ddwyrain)'!W43)</f>
        <v>27508.140844516518</v>
      </c>
      <c r="AE43" s="4">
        <f>IF('Rhaniad y Ddeiliadaeth (Cymru)'!$D$8="Amcangyfrifon LlC",'Incwm (De-ddwyrain)'!F43,'Incwm (De-ddwyrain)'!X43)</f>
        <v>28403.513431617321</v>
      </c>
      <c r="AF43" s="4">
        <f>IF('Rhaniad y Ddeiliadaeth (Cymru)'!$D$8="Amcangyfrifon LlC",'Incwm (De-ddwyrain)'!G43,'Incwm (De-ddwyrain)'!Y43)</f>
        <v>29449.675792585018</v>
      </c>
      <c r="AG43" s="4">
        <f>IF('Rhaniad y Ddeiliadaeth (Cymru)'!$D$8="Amcangyfrifon LlC",'Incwm (De-ddwyrain)'!H43,'Incwm (De-ddwyrain)'!Z43)</f>
        <v>30563.122525198258</v>
      </c>
    </row>
    <row r="44" spans="2:33" x14ac:dyDescent="0.25">
      <c r="B44" s="20">
        <v>50</v>
      </c>
      <c r="C44" s="57">
        <v>26279.8</v>
      </c>
      <c r="D44" s="57">
        <f>C44*(1+'Rhaniad y Ddeiliadaeth (De-ddn)'!C$109)+(C$44*(-(50-$B44)*('Rhaniad y Ddeiliadaeth (De-ddn)'!C$110/40)))</f>
        <v>27209.510015147669</v>
      </c>
      <c r="E44" s="57">
        <f>D44*(1+'Rhaniad y Ddeiliadaeth (De-ddn)'!D$109)+(D$44*(-(50-$B44)*('Rhaniad y Ddeiliadaeth (De-ddn)'!D$110/40)))</f>
        <v>27909.099018909717</v>
      </c>
      <c r="F44" s="57">
        <f>E44*(1+'Rhaniad y Ddeiliadaeth (De-ddn)'!E$109)+(E$44*(-(50-$B44)*('Rhaniad y Ddeiliadaeth (De-ddn)'!E$110/40)))</f>
        <v>28824.601516391136</v>
      </c>
      <c r="G44" s="57">
        <f>F44*(1+'Rhaniad y Ddeiliadaeth (De-ddn)'!F$109)+(F$44*(-(50-$B44)*('Rhaniad y Ddeiliadaeth (De-ddn)'!F$110/40)))</f>
        <v>29893.586438365157</v>
      </c>
      <c r="H44" s="58">
        <f>G44*(1+'Rhaniad y Ddeiliadaeth (De-ddn)'!G$109)+(G$44*(-(50-$B44)*('Rhaniad y Ddeiliadaeth (De-ddn)'!G$110/40)))</f>
        <v>31031.402793608806</v>
      </c>
      <c r="L44" s="62" t="str">
        <f t="shared" si="0"/>
        <v/>
      </c>
      <c r="M44" s="227"/>
      <c r="N44" s="14">
        <f t="shared" si="3"/>
        <v>1</v>
      </c>
      <c r="T44" s="1">
        <f t="shared" si="1"/>
        <v>50</v>
      </c>
      <c r="U44" s="4" t="str">
        <f t="shared" si="2"/>
        <v/>
      </c>
      <c r="V44" s="57" t="e">
        <f>IF($K$4=$V$3,M44,U44*(1+'Rhaniad y Ddeiliadaeth (De-ddn)'!C$109)+(U$44*(-(50-$B44)*('Rhaniad y Ddeiliadaeth (De-ddn)'!C$110/40))))</f>
        <v>#VALUE!</v>
      </c>
      <c r="W44" s="57" t="e">
        <f>V44*(1+'Rhaniad y Ddeiliadaeth (De-ddn)'!D$109)+(V$44*(-(50-$B44)*('Rhaniad y Ddeiliadaeth (De-ddn)'!D$110/40)))</f>
        <v>#VALUE!</v>
      </c>
      <c r="X44" s="57" t="e">
        <f>W44*(1+'Rhaniad y Ddeiliadaeth (De-ddn)'!E$109)+(W$44*(-(50-$B44)*('Rhaniad y Ddeiliadaeth (De-ddn)'!E$110/40)))</f>
        <v>#VALUE!</v>
      </c>
      <c r="Y44" s="57" t="e">
        <f>X44*(1+'Rhaniad y Ddeiliadaeth (De-ddn)'!F$109)+(X$44*(-(50-$B44)*('Rhaniad y Ddeiliadaeth (De-ddn)'!F$110/40)))</f>
        <v>#VALUE!</v>
      </c>
      <c r="Z44" s="57" t="e">
        <f>Y44*(1+'Rhaniad y Ddeiliadaeth (De-ddn)'!G$109)+(Y$44*(-(50-$B44)*('Rhaniad y Ddeiliadaeth (De-ddn)'!G$110/40)))</f>
        <v>#VALUE!</v>
      </c>
      <c r="AB44" s="1">
        <v>50</v>
      </c>
      <c r="AC44" s="4">
        <f>IF('Rhaniad y Ddeiliadaeth (Cymru)'!$D$8="Amcangyfrifon LlC",'Incwm (De-ddwyrain)'!D44,'Incwm (De-ddwyrain)'!V44)</f>
        <v>27209.510015147669</v>
      </c>
      <c r="AD44" s="4">
        <f>IF('Rhaniad y Ddeiliadaeth (Cymru)'!$D$8="Amcangyfrifon LlC",'Incwm (De-ddwyrain)'!E44,'Incwm (De-ddwyrain)'!W44)</f>
        <v>27909.099018909717</v>
      </c>
      <c r="AE44" s="4">
        <f>IF('Rhaniad y Ddeiliadaeth (Cymru)'!$D$8="Amcangyfrifon LlC",'Incwm (De-ddwyrain)'!F44,'Incwm (De-ddwyrain)'!X44)</f>
        <v>28824.601516391136</v>
      </c>
      <c r="AF44" s="4">
        <f>IF('Rhaniad y Ddeiliadaeth (Cymru)'!$D$8="Amcangyfrifon LlC",'Incwm (De-ddwyrain)'!G44,'Incwm (De-ddwyrain)'!Y44)</f>
        <v>29893.586438365157</v>
      </c>
      <c r="AG44" s="4">
        <f>IF('Rhaniad y Ddeiliadaeth (Cymru)'!$D$8="Amcangyfrifon LlC",'Incwm (De-ddwyrain)'!H44,'Incwm (De-ddwyrain)'!Z44)</f>
        <v>31031.402793608806</v>
      </c>
    </row>
    <row r="45" spans="2:33" x14ac:dyDescent="0.25">
      <c r="B45" s="20">
        <v>51</v>
      </c>
      <c r="C45" s="57">
        <v>26770</v>
      </c>
      <c r="D45" s="57">
        <f>C45*(1+'Rhaniad y Ddeiliadaeth (De-ddn)'!C$109)+(C$44*(-(50-$B45)*('Rhaniad y Ddeiliadaeth (De-ddn)'!C$110/40)))</f>
        <v>27723.621948322023</v>
      </c>
      <c r="E45" s="57">
        <f>D45*(1+'Rhaniad y Ddeiliadaeth (De-ddn)'!D$109)+(D$44*(-(50-$B45)*('Rhaniad y Ddeiliadaeth (De-ddn)'!D$110/40)))</f>
        <v>28443.231761487274</v>
      </c>
      <c r="F45" s="57">
        <f>E45*(1+'Rhaniad y Ddeiliadaeth (De-ddn)'!E$109)+(E$44*(-(50-$B45)*('Rhaniad y Ddeiliadaeth (De-ddn)'!E$110/40)))</f>
        <v>29383.232696247695</v>
      </c>
      <c r="G45" s="57">
        <f>F45*(1+'Rhaniad y Ddeiliadaeth (De-ddn)'!F$109)+(F$44*(-(50-$B45)*('Rhaniad y Ddeiliadaeth (De-ddn)'!F$110/40)))</f>
        <v>30480.141082173097</v>
      </c>
      <c r="H45" s="58">
        <f>G45*(1+'Rhaniad y Ddeiliadaeth (De-ddn)'!G$109)+(G$44*(-(50-$B45)*('Rhaniad y Ddeiliadaeth (De-ddn)'!G$110/40)))</f>
        <v>31647.756407719036</v>
      </c>
      <c r="L45" s="62" t="str">
        <f t="shared" si="0"/>
        <v/>
      </c>
      <c r="M45" s="227"/>
      <c r="N45" s="14">
        <f t="shared" si="3"/>
        <v>1</v>
      </c>
      <c r="T45" s="1">
        <f t="shared" si="1"/>
        <v>51</v>
      </c>
      <c r="U45" s="4" t="str">
        <f t="shared" si="2"/>
        <v/>
      </c>
      <c r="V45" s="57" t="e">
        <f>IF($K$4=$V$3,M45,U45*(1+'Rhaniad y Ddeiliadaeth (De-ddn)'!C$109)+(U$44*(-(50-$B45)*('Rhaniad y Ddeiliadaeth (De-ddn)'!C$110/40))))</f>
        <v>#VALUE!</v>
      </c>
      <c r="W45" s="57" t="e">
        <f>V45*(1+'Rhaniad y Ddeiliadaeth (De-ddn)'!D$109)+(V$44*(-(50-$B45)*('Rhaniad y Ddeiliadaeth (De-ddn)'!D$110/40)))</f>
        <v>#VALUE!</v>
      </c>
      <c r="X45" s="57" t="e">
        <f>W45*(1+'Rhaniad y Ddeiliadaeth (De-ddn)'!E$109)+(W$44*(-(50-$B45)*('Rhaniad y Ddeiliadaeth (De-ddn)'!E$110/40)))</f>
        <v>#VALUE!</v>
      </c>
      <c r="Y45" s="57" t="e">
        <f>X45*(1+'Rhaniad y Ddeiliadaeth (De-ddn)'!F$109)+(X$44*(-(50-$B45)*('Rhaniad y Ddeiliadaeth (De-ddn)'!F$110/40)))</f>
        <v>#VALUE!</v>
      </c>
      <c r="Z45" s="57" t="e">
        <f>Y45*(1+'Rhaniad y Ddeiliadaeth (De-ddn)'!G$109)+(Y$44*(-(50-$B45)*('Rhaniad y Ddeiliadaeth (De-ddn)'!G$110/40)))</f>
        <v>#VALUE!</v>
      </c>
      <c r="AB45" s="1">
        <v>51</v>
      </c>
      <c r="AC45" s="4">
        <f>IF('Rhaniad y Ddeiliadaeth (Cymru)'!$D$8="Amcangyfrifon LlC",'Incwm (De-ddwyrain)'!D45,'Incwm (De-ddwyrain)'!V45)</f>
        <v>27723.621948322023</v>
      </c>
      <c r="AD45" s="4">
        <f>IF('Rhaniad y Ddeiliadaeth (Cymru)'!$D$8="Amcangyfrifon LlC",'Incwm (De-ddwyrain)'!E45,'Incwm (De-ddwyrain)'!W45)</f>
        <v>28443.231761487274</v>
      </c>
      <c r="AE45" s="4">
        <f>IF('Rhaniad y Ddeiliadaeth (Cymru)'!$D$8="Amcangyfrifon LlC",'Incwm (De-ddwyrain)'!F45,'Incwm (De-ddwyrain)'!X45)</f>
        <v>29383.232696247695</v>
      </c>
      <c r="AF45" s="4">
        <f>IF('Rhaniad y Ddeiliadaeth (Cymru)'!$D$8="Amcangyfrifon LlC",'Incwm (De-ddwyrain)'!G45,'Incwm (De-ddwyrain)'!Y45)</f>
        <v>30480.141082173097</v>
      </c>
      <c r="AG45" s="4">
        <f>IF('Rhaniad y Ddeiliadaeth (Cymru)'!$D$8="Amcangyfrifon LlC",'Incwm (De-ddwyrain)'!H45,'Incwm (De-ddwyrain)'!Z45)</f>
        <v>31647.756407719036</v>
      </c>
    </row>
    <row r="46" spans="2:33" x14ac:dyDescent="0.25">
      <c r="B46" s="20">
        <v>52</v>
      </c>
      <c r="C46" s="57">
        <v>27427</v>
      </c>
      <c r="D46" s="57">
        <f>C46*(1+'Rhaniad y Ddeiliadaeth (De-ddn)'!C$109)+(C$44*(-(50-$B46)*('Rhaniad y Ddeiliadaeth (De-ddn)'!C$110/40)))</f>
        <v>28410.434825587527</v>
      </c>
      <c r="E46" s="57">
        <f>D46*(1+'Rhaniad y Ddeiliadaeth (De-ddn)'!D$109)+(D$44*(-(50-$B46)*('Rhaniad y Ddeiliadaeth (De-ddn)'!D$110/40)))</f>
        <v>29154.505795716745</v>
      </c>
      <c r="F46" s="57">
        <f>E46*(1+'Rhaniad y Ddeiliadaeth (De-ddn)'!E$109)+(E$44*(-(50-$B46)*('Rhaniad y Ddeiliadaeth (De-ddn)'!E$110/40)))</f>
        <v>30124.815935592291</v>
      </c>
      <c r="G46" s="57">
        <f>F46*(1+'Rhaniad y Ddeiliadaeth (De-ddn)'!F$109)+(F$44*(-(50-$B46)*('Rhaniad y Ddeiliadaeth (De-ddn)'!F$110/40)))</f>
        <v>31256.432718573025</v>
      </c>
      <c r="H46" s="58">
        <f>G46*(1+'Rhaniad y Ddeiliadaeth (De-ddn)'!G$109)+(G$44*(-(50-$B46)*('Rhaniad y Ddeiliadaeth (De-ddn)'!G$110/40)))</f>
        <v>32461.068826157061</v>
      </c>
      <c r="L46" s="62" t="str">
        <f t="shared" si="0"/>
        <v/>
      </c>
      <c r="M46" s="227"/>
      <c r="N46" s="14">
        <f t="shared" si="3"/>
        <v>1</v>
      </c>
      <c r="T46" s="1">
        <f t="shared" si="1"/>
        <v>52</v>
      </c>
      <c r="U46" s="4" t="str">
        <f t="shared" si="2"/>
        <v/>
      </c>
      <c r="V46" s="57" t="e">
        <f>IF($K$4=$V$3,M46,U46*(1+'Rhaniad y Ddeiliadaeth (De-ddn)'!C$109)+(U$44*(-(50-$B46)*('Rhaniad y Ddeiliadaeth (De-ddn)'!C$110/40))))</f>
        <v>#VALUE!</v>
      </c>
      <c r="W46" s="57" t="e">
        <f>V46*(1+'Rhaniad y Ddeiliadaeth (De-ddn)'!D$109)+(V$44*(-(50-$B46)*('Rhaniad y Ddeiliadaeth (De-ddn)'!D$110/40)))</f>
        <v>#VALUE!</v>
      </c>
      <c r="X46" s="57" t="e">
        <f>W46*(1+'Rhaniad y Ddeiliadaeth (De-ddn)'!E$109)+(W$44*(-(50-$B46)*('Rhaniad y Ddeiliadaeth (De-ddn)'!E$110/40)))</f>
        <v>#VALUE!</v>
      </c>
      <c r="Y46" s="57" t="e">
        <f>X46*(1+'Rhaniad y Ddeiliadaeth (De-ddn)'!F$109)+(X$44*(-(50-$B46)*('Rhaniad y Ddeiliadaeth (De-ddn)'!F$110/40)))</f>
        <v>#VALUE!</v>
      </c>
      <c r="Z46" s="57" t="e">
        <f>Y46*(1+'Rhaniad y Ddeiliadaeth (De-ddn)'!G$109)+(Y$44*(-(50-$B46)*('Rhaniad y Ddeiliadaeth (De-ddn)'!G$110/40)))</f>
        <v>#VALUE!</v>
      </c>
      <c r="AB46" s="1">
        <v>52</v>
      </c>
      <c r="AC46" s="4">
        <f>IF('Rhaniad y Ddeiliadaeth (Cymru)'!$D$8="Amcangyfrifon LlC",'Incwm (De-ddwyrain)'!D46,'Incwm (De-ddwyrain)'!V46)</f>
        <v>28410.434825587527</v>
      </c>
      <c r="AD46" s="4">
        <f>IF('Rhaniad y Ddeiliadaeth (Cymru)'!$D$8="Amcangyfrifon LlC",'Incwm (De-ddwyrain)'!E46,'Incwm (De-ddwyrain)'!W46)</f>
        <v>29154.505795716745</v>
      </c>
      <c r="AE46" s="4">
        <f>IF('Rhaniad y Ddeiliadaeth (Cymru)'!$D$8="Amcangyfrifon LlC",'Incwm (De-ddwyrain)'!F46,'Incwm (De-ddwyrain)'!X46)</f>
        <v>30124.815935592291</v>
      </c>
      <c r="AF46" s="4">
        <f>IF('Rhaniad y Ddeiliadaeth (Cymru)'!$D$8="Amcangyfrifon LlC",'Incwm (De-ddwyrain)'!G46,'Incwm (De-ddwyrain)'!Y46)</f>
        <v>31256.432718573025</v>
      </c>
      <c r="AG46" s="4">
        <f>IF('Rhaniad y Ddeiliadaeth (Cymru)'!$D$8="Amcangyfrifon LlC",'Incwm (De-ddwyrain)'!H46,'Incwm (De-ddwyrain)'!Z46)</f>
        <v>32461.068826157061</v>
      </c>
    </row>
    <row r="47" spans="2:33" x14ac:dyDescent="0.25">
      <c r="B47" s="20">
        <v>53</v>
      </c>
      <c r="C47" s="57">
        <v>28082.6</v>
      </c>
      <c r="D47" s="57">
        <f>C47*(1+'Rhaniad y Ddeiliadaeth (De-ddn)'!C$109)+(C$44*(-(50-$B47)*('Rhaniad y Ddeiliadaeth (De-ddn)'!C$110/40)))</f>
        <v>29095.798174545311</v>
      </c>
      <c r="E47" s="57">
        <f>D47*(1+'Rhaniad y Ddeiliadaeth (De-ddn)'!D$109)+(D$44*(-(50-$B47)*('Rhaniad y Ddeiliadaeth (De-ddn)'!D$110/40)))</f>
        <v>29864.293032534275</v>
      </c>
      <c r="F47" s="57">
        <f>E47*(1+'Rhaniad y Ddeiliadaeth (De-ddn)'!E$109)+(E$44*(-(50-$B47)*('Rhaniad y Ddeiliadaeth (De-ddn)'!E$110/40)))</f>
        <v>30864.863606092276</v>
      </c>
      <c r="G47" s="57">
        <f>F47*(1+'Rhaniad y Ddeiliadaeth (De-ddn)'!F$109)+(F$44*(-(50-$B47)*('Rhaniad y Ddeiliadaeth (De-ddn)'!F$110/40)))</f>
        <v>32031.131838248577</v>
      </c>
      <c r="H47" s="58">
        <f>G47*(1+'Rhaniad y Ddeiliadaeth (De-ddn)'!G$109)+(G$44*(-(50-$B47)*('Rhaniad y Ddeiliadaeth (De-ddn)'!G$110/40)))</f>
        <v>33272.728113143909</v>
      </c>
      <c r="L47" s="62" t="str">
        <f t="shared" si="0"/>
        <v/>
      </c>
      <c r="M47" s="227"/>
      <c r="N47" s="14">
        <f t="shared" si="3"/>
        <v>1</v>
      </c>
      <c r="T47" s="1">
        <f t="shared" si="1"/>
        <v>53</v>
      </c>
      <c r="U47" s="4" t="str">
        <f t="shared" si="2"/>
        <v/>
      </c>
      <c r="V47" s="57" t="e">
        <f>IF($K$4=$V$3,M47,U47*(1+'Rhaniad y Ddeiliadaeth (De-ddn)'!C$109)+(U$44*(-(50-$B47)*('Rhaniad y Ddeiliadaeth (De-ddn)'!C$110/40))))</f>
        <v>#VALUE!</v>
      </c>
      <c r="W47" s="57" t="e">
        <f>V47*(1+'Rhaniad y Ddeiliadaeth (De-ddn)'!D$109)+(V$44*(-(50-$B47)*('Rhaniad y Ddeiliadaeth (De-ddn)'!D$110/40)))</f>
        <v>#VALUE!</v>
      </c>
      <c r="X47" s="57" t="e">
        <f>W47*(1+'Rhaniad y Ddeiliadaeth (De-ddn)'!E$109)+(W$44*(-(50-$B47)*('Rhaniad y Ddeiliadaeth (De-ddn)'!E$110/40)))</f>
        <v>#VALUE!</v>
      </c>
      <c r="Y47" s="57" t="e">
        <f>X47*(1+'Rhaniad y Ddeiliadaeth (De-ddn)'!F$109)+(X$44*(-(50-$B47)*('Rhaniad y Ddeiliadaeth (De-ddn)'!F$110/40)))</f>
        <v>#VALUE!</v>
      </c>
      <c r="Z47" s="57" t="e">
        <f>Y47*(1+'Rhaniad y Ddeiliadaeth (De-ddn)'!G$109)+(Y$44*(-(50-$B47)*('Rhaniad y Ddeiliadaeth (De-ddn)'!G$110/40)))</f>
        <v>#VALUE!</v>
      </c>
      <c r="AB47" s="1">
        <v>53</v>
      </c>
      <c r="AC47" s="4">
        <f>IF('Rhaniad y Ddeiliadaeth (Cymru)'!$D$8="Amcangyfrifon LlC",'Incwm (De-ddwyrain)'!D47,'Incwm (De-ddwyrain)'!V47)</f>
        <v>29095.798174545311</v>
      </c>
      <c r="AD47" s="4">
        <f>IF('Rhaniad y Ddeiliadaeth (Cymru)'!$D$8="Amcangyfrifon LlC",'Incwm (De-ddwyrain)'!E47,'Incwm (De-ddwyrain)'!W47)</f>
        <v>29864.293032534275</v>
      </c>
      <c r="AE47" s="4">
        <f>IF('Rhaniad y Ddeiliadaeth (Cymru)'!$D$8="Amcangyfrifon LlC",'Incwm (De-ddwyrain)'!F47,'Incwm (De-ddwyrain)'!X47)</f>
        <v>30864.863606092276</v>
      </c>
      <c r="AF47" s="4">
        <f>IF('Rhaniad y Ddeiliadaeth (Cymru)'!$D$8="Amcangyfrifon LlC",'Incwm (De-ddwyrain)'!G47,'Incwm (De-ddwyrain)'!Y47)</f>
        <v>32031.131838248577</v>
      </c>
      <c r="AG47" s="4">
        <f>IF('Rhaniad y Ddeiliadaeth (Cymru)'!$D$8="Amcangyfrifon LlC",'Incwm (De-ddwyrain)'!H47,'Incwm (De-ddwyrain)'!Z47)</f>
        <v>33272.728113143909</v>
      </c>
    </row>
    <row r="48" spans="2:33" x14ac:dyDescent="0.25">
      <c r="B48" s="20">
        <v>54</v>
      </c>
      <c r="C48" s="57">
        <v>28699</v>
      </c>
      <c r="D48" s="57">
        <f>C48*(1+'Rhaniad y Ddeiliadaeth (De-ddn)'!C$109)+(C$44*(-(50-$B48)*('Rhaniad y Ddeiliadaeth (De-ddn)'!C$110/40)))</f>
        <v>29740.574730886954</v>
      </c>
      <c r="E48" s="57">
        <f>D48*(1+'Rhaniad y Ddeiliadaeth (De-ddn)'!D$109)+(D$44*(-(50-$B48)*('Rhaniad y Ddeiliadaeth (De-ddn)'!D$110/40)))</f>
        <v>30532.4499418173</v>
      </c>
      <c r="F48" s="57">
        <f>E48*(1+'Rhaniad y Ddeiliadaeth (De-ddn)'!E$109)+(E$44*(-(50-$B48)*('Rhaniad y Ddeiliadaeth (De-ddn)'!E$110/40)))</f>
        <v>31561.915348942788</v>
      </c>
      <c r="G48" s="57">
        <f>F48*(1+'Rhaniad y Ddeiliadaeth (De-ddn)'!F$109)+(F$44*(-(50-$B48)*('Rhaniad y Ddeiliadaeth (De-ddn)'!F$110/40)))</f>
        <v>32761.24048964111</v>
      </c>
      <c r="H48" s="58">
        <f>G48*(1+'Rhaniad y Ddeiliadaeth (De-ddn)'!G$109)+(G$44*(-(50-$B48)*('Rhaniad y Ddeiliadaeth (De-ddn)'!G$110/40)))</f>
        <v>34038.099719497361</v>
      </c>
      <c r="L48" s="62" t="str">
        <f t="shared" si="0"/>
        <v/>
      </c>
      <c r="M48" s="227"/>
      <c r="N48" s="14">
        <f t="shared" si="3"/>
        <v>1</v>
      </c>
      <c r="T48" s="1">
        <f t="shared" si="1"/>
        <v>54</v>
      </c>
      <c r="U48" s="4" t="str">
        <f t="shared" si="2"/>
        <v/>
      </c>
      <c r="V48" s="57" t="e">
        <f>IF($K$4=$V$3,M48,U48*(1+'Rhaniad y Ddeiliadaeth (De-ddn)'!C$109)+(U$44*(-(50-$B48)*('Rhaniad y Ddeiliadaeth (De-ddn)'!C$110/40))))</f>
        <v>#VALUE!</v>
      </c>
      <c r="W48" s="57" t="e">
        <f>V48*(1+'Rhaniad y Ddeiliadaeth (De-ddn)'!D$109)+(V$44*(-(50-$B48)*('Rhaniad y Ddeiliadaeth (De-ddn)'!D$110/40)))</f>
        <v>#VALUE!</v>
      </c>
      <c r="X48" s="57" t="e">
        <f>W48*(1+'Rhaniad y Ddeiliadaeth (De-ddn)'!E$109)+(W$44*(-(50-$B48)*('Rhaniad y Ddeiliadaeth (De-ddn)'!E$110/40)))</f>
        <v>#VALUE!</v>
      </c>
      <c r="Y48" s="57" t="e">
        <f>X48*(1+'Rhaniad y Ddeiliadaeth (De-ddn)'!F$109)+(X$44*(-(50-$B48)*('Rhaniad y Ddeiliadaeth (De-ddn)'!F$110/40)))</f>
        <v>#VALUE!</v>
      </c>
      <c r="Z48" s="57" t="e">
        <f>Y48*(1+'Rhaniad y Ddeiliadaeth (De-ddn)'!G$109)+(Y$44*(-(50-$B48)*('Rhaniad y Ddeiliadaeth (De-ddn)'!G$110/40)))</f>
        <v>#VALUE!</v>
      </c>
      <c r="AB48" s="1">
        <v>54</v>
      </c>
      <c r="AC48" s="4">
        <f>IF('Rhaniad y Ddeiliadaeth (Cymru)'!$D$8="Amcangyfrifon LlC",'Incwm (De-ddwyrain)'!D48,'Incwm (De-ddwyrain)'!V48)</f>
        <v>29740.574730886954</v>
      </c>
      <c r="AD48" s="4">
        <f>IF('Rhaniad y Ddeiliadaeth (Cymru)'!$D$8="Amcangyfrifon LlC",'Incwm (De-ddwyrain)'!E48,'Incwm (De-ddwyrain)'!W48)</f>
        <v>30532.4499418173</v>
      </c>
      <c r="AE48" s="4">
        <f>IF('Rhaniad y Ddeiliadaeth (Cymru)'!$D$8="Amcangyfrifon LlC",'Incwm (De-ddwyrain)'!F48,'Incwm (De-ddwyrain)'!X48)</f>
        <v>31561.915348942788</v>
      </c>
      <c r="AF48" s="4">
        <f>IF('Rhaniad y Ddeiliadaeth (Cymru)'!$D$8="Amcangyfrifon LlC",'Incwm (De-ddwyrain)'!G48,'Incwm (De-ddwyrain)'!Y48)</f>
        <v>32761.24048964111</v>
      </c>
      <c r="AG48" s="4">
        <f>IF('Rhaniad y Ddeiliadaeth (Cymru)'!$D$8="Amcangyfrifon LlC",'Incwm (De-ddwyrain)'!H48,'Incwm (De-ddwyrain)'!Z48)</f>
        <v>34038.099719497361</v>
      </c>
    </row>
    <row r="49" spans="2:33" x14ac:dyDescent="0.25">
      <c r="B49" s="20">
        <v>55</v>
      </c>
      <c r="C49" s="57">
        <v>29325</v>
      </c>
      <c r="D49" s="57">
        <f>C49*(1+'Rhaniad y Ddeiliadaeth (De-ddn)'!C$109)+(C$44*(-(50-$B49)*('Rhaniad y Ddeiliadaeth (De-ddn)'!C$110/40)))</f>
        <v>30395.290909910098</v>
      </c>
      <c r="E49" s="57">
        <f>D49*(1+'Rhaniad y Ddeiliadaeth (De-ddn)'!D$109)+(D$44*(-(50-$B49)*('Rhaniad y Ddeiliadaeth (De-ddn)'!D$110/40)))</f>
        <v>31210.80203335367</v>
      </c>
      <c r="F49" s="57">
        <f>E49*(1+'Rhaniad y Ddeiliadaeth (De-ddn)'!E$109)+(E$44*(-(50-$B49)*('Rhaniad y Ddeiliadaeth (De-ddn)'!E$110/40)))</f>
        <v>32269.496706727859</v>
      </c>
      <c r="G49" s="57">
        <f>F49*(1+'Rhaniad y Ddeiliadaeth (De-ddn)'!F$109)+(F$44*(-(50-$B49)*('Rhaniad y Ddeiliadaeth (De-ddn)'!F$110/40)))</f>
        <v>33502.269255715197</v>
      </c>
      <c r="H49" s="58">
        <f>G49*(1+'Rhaniad y Ddeiliadaeth (De-ddn)'!G$109)+(G$44*(-(50-$B49)*('Rhaniad y Ddeiliadaeth (De-ddn)'!G$110/40)))</f>
        <v>34814.807084373271</v>
      </c>
      <c r="L49" s="62" t="str">
        <f t="shared" si="0"/>
        <v/>
      </c>
      <c r="M49" s="227"/>
      <c r="N49" s="14">
        <f t="shared" si="3"/>
        <v>1</v>
      </c>
      <c r="T49" s="1">
        <f t="shared" si="1"/>
        <v>55</v>
      </c>
      <c r="U49" s="4" t="str">
        <f t="shared" si="2"/>
        <v/>
      </c>
      <c r="V49" s="57" t="e">
        <f>IF($K$4=$V$3,M49,U49*(1+'Rhaniad y Ddeiliadaeth (De-ddn)'!C$109)+(U$44*(-(50-$B49)*('Rhaniad y Ddeiliadaeth (De-ddn)'!C$110/40))))</f>
        <v>#VALUE!</v>
      </c>
      <c r="W49" s="57" t="e">
        <f>V49*(1+'Rhaniad y Ddeiliadaeth (De-ddn)'!D$109)+(V$44*(-(50-$B49)*('Rhaniad y Ddeiliadaeth (De-ddn)'!D$110/40)))</f>
        <v>#VALUE!</v>
      </c>
      <c r="X49" s="57" t="e">
        <f>W49*(1+'Rhaniad y Ddeiliadaeth (De-ddn)'!E$109)+(W$44*(-(50-$B49)*('Rhaniad y Ddeiliadaeth (De-ddn)'!E$110/40)))</f>
        <v>#VALUE!</v>
      </c>
      <c r="Y49" s="57" t="e">
        <f>X49*(1+'Rhaniad y Ddeiliadaeth (De-ddn)'!F$109)+(X$44*(-(50-$B49)*('Rhaniad y Ddeiliadaeth (De-ddn)'!F$110/40)))</f>
        <v>#VALUE!</v>
      </c>
      <c r="Z49" s="57" t="e">
        <f>Y49*(1+'Rhaniad y Ddeiliadaeth (De-ddn)'!G$109)+(Y$44*(-(50-$B49)*('Rhaniad y Ddeiliadaeth (De-ddn)'!G$110/40)))</f>
        <v>#VALUE!</v>
      </c>
      <c r="AB49" s="1">
        <v>55</v>
      </c>
      <c r="AC49" s="4">
        <f>IF('Rhaniad y Ddeiliadaeth (Cymru)'!$D$8="Amcangyfrifon LlC",'Incwm (De-ddwyrain)'!D49,'Incwm (De-ddwyrain)'!V49)</f>
        <v>30395.290909910098</v>
      </c>
      <c r="AD49" s="4">
        <f>IF('Rhaniad y Ddeiliadaeth (Cymru)'!$D$8="Amcangyfrifon LlC",'Incwm (De-ddwyrain)'!E49,'Incwm (De-ddwyrain)'!W49)</f>
        <v>31210.80203335367</v>
      </c>
      <c r="AE49" s="4">
        <f>IF('Rhaniad y Ddeiliadaeth (Cymru)'!$D$8="Amcangyfrifon LlC",'Incwm (De-ddwyrain)'!F49,'Incwm (De-ddwyrain)'!X49)</f>
        <v>32269.496706727859</v>
      </c>
      <c r="AF49" s="4">
        <f>IF('Rhaniad y Ddeiliadaeth (Cymru)'!$D$8="Amcangyfrifon LlC",'Incwm (De-ddwyrain)'!G49,'Incwm (De-ddwyrain)'!Y49)</f>
        <v>33502.269255715197</v>
      </c>
      <c r="AG49" s="4">
        <f>IF('Rhaniad y Ddeiliadaeth (Cymru)'!$D$8="Amcangyfrifon LlC",'Incwm (De-ddwyrain)'!H49,'Incwm (De-ddwyrain)'!Z49)</f>
        <v>34814.807084373271</v>
      </c>
    </row>
    <row r="50" spans="2:33" x14ac:dyDescent="0.25">
      <c r="B50" s="20">
        <v>56</v>
      </c>
      <c r="C50" s="57">
        <v>29932.5</v>
      </c>
      <c r="D50" s="57">
        <f>C50*(1+'Rhaniad y Ddeiliadaeth (De-ddn)'!C$109)+(C$44*(-(50-$B50)*('Rhaniad y Ddeiliadaeth (De-ddn)'!C$110/40)))</f>
        <v>31030.852607724089</v>
      </c>
      <c r="E50" s="57">
        <f>D50*(1+'Rhaniad y Ddeiliadaeth (De-ddn)'!D$109)+(D$44*(-(50-$B50)*('Rhaniad y Ddeiliadaeth (De-ddn)'!D$110/40)))</f>
        <v>31869.507159089317</v>
      </c>
      <c r="F50" s="57">
        <f>E50*(1+'Rhaniad y Ddeiliadaeth (De-ddn)'!E$109)+(E$44*(-(50-$B50)*('Rhaniad y Ddeiliadaeth (De-ddn)'!E$110/40)))</f>
        <v>32956.786619066115</v>
      </c>
      <c r="G50" s="57">
        <f>F50*(1+'Rhaniad y Ddeiliadaeth (De-ddn)'!F$109)+(F$44*(-(50-$B50)*('Rhaniad y Ddeiliadaeth (De-ddn)'!F$110/40)))</f>
        <v>34222.254050788368</v>
      </c>
      <c r="H50" s="58">
        <f>G50*(1+'Rhaniad y Ddeiliadaeth (De-ddn)'!G$109)+(G$44*(-(50-$B50)*('Rhaniad y Ddeiliadaeth (De-ddn)'!G$110/40)))</f>
        <v>35569.669497929848</v>
      </c>
      <c r="L50" s="62" t="str">
        <f t="shared" si="0"/>
        <v/>
      </c>
      <c r="M50" s="227"/>
      <c r="N50" s="14">
        <f t="shared" si="3"/>
        <v>1</v>
      </c>
      <c r="T50" s="1">
        <f t="shared" si="1"/>
        <v>56</v>
      </c>
      <c r="U50" s="4" t="str">
        <f t="shared" si="2"/>
        <v/>
      </c>
      <c r="V50" s="57" t="e">
        <f>IF($K$4=$V$3,M50,U50*(1+'Rhaniad y Ddeiliadaeth (De-ddn)'!C$109)+(U$44*(-(50-$B50)*('Rhaniad y Ddeiliadaeth (De-ddn)'!C$110/40))))</f>
        <v>#VALUE!</v>
      </c>
      <c r="W50" s="57" t="e">
        <f>V50*(1+'Rhaniad y Ddeiliadaeth (De-ddn)'!D$109)+(V$44*(-(50-$B50)*('Rhaniad y Ddeiliadaeth (De-ddn)'!D$110/40)))</f>
        <v>#VALUE!</v>
      </c>
      <c r="X50" s="57" t="e">
        <f>W50*(1+'Rhaniad y Ddeiliadaeth (De-ddn)'!E$109)+(W$44*(-(50-$B50)*('Rhaniad y Ddeiliadaeth (De-ddn)'!E$110/40)))</f>
        <v>#VALUE!</v>
      </c>
      <c r="Y50" s="57" t="e">
        <f>X50*(1+'Rhaniad y Ddeiliadaeth (De-ddn)'!F$109)+(X$44*(-(50-$B50)*('Rhaniad y Ddeiliadaeth (De-ddn)'!F$110/40)))</f>
        <v>#VALUE!</v>
      </c>
      <c r="Z50" s="57" t="e">
        <f>Y50*(1+'Rhaniad y Ddeiliadaeth (De-ddn)'!G$109)+(Y$44*(-(50-$B50)*('Rhaniad y Ddeiliadaeth (De-ddn)'!G$110/40)))</f>
        <v>#VALUE!</v>
      </c>
      <c r="AB50" s="1">
        <v>56</v>
      </c>
      <c r="AC50" s="4">
        <f>IF('Rhaniad y Ddeiliadaeth (Cymru)'!$D$8="Amcangyfrifon LlC",'Incwm (De-ddwyrain)'!D50,'Incwm (De-ddwyrain)'!V50)</f>
        <v>31030.852607724089</v>
      </c>
      <c r="AD50" s="4">
        <f>IF('Rhaniad y Ddeiliadaeth (Cymru)'!$D$8="Amcangyfrifon LlC",'Incwm (De-ddwyrain)'!E50,'Incwm (De-ddwyrain)'!W50)</f>
        <v>31869.507159089317</v>
      </c>
      <c r="AE50" s="4">
        <f>IF('Rhaniad y Ddeiliadaeth (Cymru)'!$D$8="Amcangyfrifon LlC",'Incwm (De-ddwyrain)'!F50,'Incwm (De-ddwyrain)'!X50)</f>
        <v>32956.786619066115</v>
      </c>
      <c r="AF50" s="4">
        <f>IF('Rhaniad y Ddeiliadaeth (Cymru)'!$D$8="Amcangyfrifon LlC",'Incwm (De-ddwyrain)'!G50,'Incwm (De-ddwyrain)'!Y50)</f>
        <v>34222.254050788368</v>
      </c>
      <c r="AG50" s="4">
        <f>IF('Rhaniad y Ddeiliadaeth (Cymru)'!$D$8="Amcangyfrifon LlC",'Incwm (De-ddwyrain)'!H50,'Incwm (De-ddwyrain)'!Z50)</f>
        <v>35569.669497929848</v>
      </c>
    </row>
    <row r="51" spans="2:33" x14ac:dyDescent="0.25">
      <c r="B51" s="20">
        <v>57</v>
      </c>
      <c r="C51" s="57">
        <v>30644</v>
      </c>
      <c r="D51" s="57">
        <f>C51*(1+'Rhaniad y Ddeiliadaeth (De-ddn)'!C$109)+(C$44*(-(50-$B51)*('Rhaniad y Ddeiliadaeth (De-ddn)'!C$110/40)))</f>
        <v>31774.093551254391</v>
      </c>
      <c r="E51" s="57">
        <f>D51*(1+'Rhaniad y Ddeiliadaeth (De-ddn)'!D$109)+(D$44*(-(50-$B51)*('Rhaniad y Ddeiliadaeth (De-ddn)'!D$110/40)))</f>
        <v>32638.660092569571</v>
      </c>
      <c r="F51" s="57">
        <f>E51*(1+'Rhaniad y Ddeiliadaeth (De-ddn)'!E$109)+(E$44*(-(50-$B51)*('Rhaniad y Ddeiliadaeth (De-ddn)'!E$110/40)))</f>
        <v>33758.147359862152</v>
      </c>
      <c r="G51" s="57">
        <f>F51*(1+'Rhaniad y Ddeiliadaeth (De-ddn)'!F$109)+(F$44*(-(50-$B51)*('Rhaniad y Ddeiliadaeth (De-ddn)'!F$110/40)))</f>
        <v>35060.540088245049</v>
      </c>
      <c r="H51" s="58">
        <f>G51*(1+'Rhaniad y Ddeiliadaeth (De-ddn)'!G$109)+(G$44*(-(50-$B51)*('Rhaniad y Ddeiliadaeth (De-ddn)'!G$110/40)))</f>
        <v>36447.335962146455</v>
      </c>
      <c r="L51" s="62" t="str">
        <f t="shared" si="0"/>
        <v/>
      </c>
      <c r="M51" s="227"/>
      <c r="N51" s="14">
        <f t="shared" si="3"/>
        <v>1</v>
      </c>
      <c r="T51" s="1">
        <f t="shared" si="1"/>
        <v>57</v>
      </c>
      <c r="U51" s="4" t="str">
        <f t="shared" si="2"/>
        <v/>
      </c>
      <c r="V51" s="57" t="e">
        <f>IF($K$4=$V$3,M51,U51*(1+'Rhaniad y Ddeiliadaeth (De-ddn)'!C$109)+(U$44*(-(50-$B51)*('Rhaniad y Ddeiliadaeth (De-ddn)'!C$110/40))))</f>
        <v>#VALUE!</v>
      </c>
      <c r="W51" s="57" t="e">
        <f>V51*(1+'Rhaniad y Ddeiliadaeth (De-ddn)'!D$109)+(V$44*(-(50-$B51)*('Rhaniad y Ddeiliadaeth (De-ddn)'!D$110/40)))</f>
        <v>#VALUE!</v>
      </c>
      <c r="X51" s="57" t="e">
        <f>W51*(1+'Rhaniad y Ddeiliadaeth (De-ddn)'!E$109)+(W$44*(-(50-$B51)*('Rhaniad y Ddeiliadaeth (De-ddn)'!E$110/40)))</f>
        <v>#VALUE!</v>
      </c>
      <c r="Y51" s="57" t="e">
        <f>X51*(1+'Rhaniad y Ddeiliadaeth (De-ddn)'!F$109)+(X$44*(-(50-$B51)*('Rhaniad y Ddeiliadaeth (De-ddn)'!F$110/40)))</f>
        <v>#VALUE!</v>
      </c>
      <c r="Z51" s="57" t="e">
        <f>Y51*(1+'Rhaniad y Ddeiliadaeth (De-ddn)'!G$109)+(Y$44*(-(50-$B51)*('Rhaniad y Ddeiliadaeth (De-ddn)'!G$110/40)))</f>
        <v>#VALUE!</v>
      </c>
      <c r="AB51" s="1">
        <v>57</v>
      </c>
      <c r="AC51" s="4">
        <f>IF('Rhaniad y Ddeiliadaeth (Cymru)'!$D$8="Amcangyfrifon LlC",'Incwm (De-ddwyrain)'!D51,'Incwm (De-ddwyrain)'!V51)</f>
        <v>31774.093551254391</v>
      </c>
      <c r="AD51" s="4">
        <f>IF('Rhaniad y Ddeiliadaeth (Cymru)'!$D$8="Amcangyfrifon LlC",'Incwm (De-ddwyrain)'!E51,'Incwm (De-ddwyrain)'!W51)</f>
        <v>32638.660092569571</v>
      </c>
      <c r="AE51" s="4">
        <f>IF('Rhaniad y Ddeiliadaeth (Cymru)'!$D$8="Amcangyfrifon LlC",'Incwm (De-ddwyrain)'!F51,'Incwm (De-ddwyrain)'!X51)</f>
        <v>33758.147359862152</v>
      </c>
      <c r="AF51" s="4">
        <f>IF('Rhaniad y Ddeiliadaeth (Cymru)'!$D$8="Amcangyfrifon LlC",'Incwm (De-ddwyrain)'!G51,'Incwm (De-ddwyrain)'!Y51)</f>
        <v>35060.540088245049</v>
      </c>
      <c r="AG51" s="4">
        <f>IF('Rhaniad y Ddeiliadaeth (Cymru)'!$D$8="Amcangyfrifon LlC",'Incwm (De-ddwyrain)'!H51,'Incwm (De-ddwyrain)'!Z51)</f>
        <v>36447.335962146455</v>
      </c>
    </row>
    <row r="52" spans="2:33" x14ac:dyDescent="0.25">
      <c r="B52" s="20">
        <v>58</v>
      </c>
      <c r="C52" s="57">
        <v>31322</v>
      </c>
      <c r="D52" s="57">
        <f>C52*(1+'Rhaniad y Ddeiliadaeth (De-ddn)'!C$109)+(C$44*(-(50-$B52)*('Rhaniad y Ddeiliadaeth (De-ddn)'!C$110/40)))</f>
        <v>32482.64935313569</v>
      </c>
      <c r="E52" s="57">
        <f>D52*(1+'Rhaniad y Ddeiliadaeth (De-ddn)'!D$109)+(D$44*(-(50-$B52)*('Rhaniad y Ddeiliadaeth (De-ddn)'!D$110/40)))</f>
        <v>33372.23608797825</v>
      </c>
      <c r="F52" s="57">
        <f>E52*(1+'Rhaniad y Ddeiliadaeth (De-ddn)'!E$109)+(E$44*(-(50-$B52)*('Rhaniad y Ddeiliadaeth (De-ddn)'!E$110/40)))</f>
        <v>34522.764131876123</v>
      </c>
      <c r="G52" s="57">
        <f>F52*(1+'Rhaniad y Ddeiliadaeth (De-ddn)'!F$109)+(F$44*(-(50-$B52)*('Rhaniad y Ddeiliadaeth (De-ddn)'!F$110/40)))</f>
        <v>35860.719475510894</v>
      </c>
      <c r="H52" s="58">
        <f>G52*(1+'Rhaniad y Ddeiliadaeth (De-ddn)'!G$109)+(G$44*(-(50-$B52)*('Rhaniad y Ddeiliadaeth (De-ddn)'!G$110/40)))</f>
        <v>37285.445352352384</v>
      </c>
      <c r="L52" s="62" t="str">
        <f t="shared" si="0"/>
        <v/>
      </c>
      <c r="M52" s="227"/>
      <c r="N52" s="14">
        <f t="shared" si="3"/>
        <v>1</v>
      </c>
      <c r="T52" s="1">
        <f t="shared" si="1"/>
        <v>58</v>
      </c>
      <c r="U52" s="4" t="str">
        <f t="shared" si="2"/>
        <v/>
      </c>
      <c r="V52" s="57" t="e">
        <f>IF($K$4=$V$3,M52,U52*(1+'Rhaniad y Ddeiliadaeth (De-ddn)'!C$109)+(U$44*(-(50-$B52)*('Rhaniad y Ddeiliadaeth (De-ddn)'!C$110/40))))</f>
        <v>#VALUE!</v>
      </c>
      <c r="W52" s="57" t="e">
        <f>V52*(1+'Rhaniad y Ddeiliadaeth (De-ddn)'!D$109)+(V$44*(-(50-$B52)*('Rhaniad y Ddeiliadaeth (De-ddn)'!D$110/40)))</f>
        <v>#VALUE!</v>
      </c>
      <c r="X52" s="57" t="e">
        <f>W52*(1+'Rhaniad y Ddeiliadaeth (De-ddn)'!E$109)+(W$44*(-(50-$B52)*('Rhaniad y Ddeiliadaeth (De-ddn)'!E$110/40)))</f>
        <v>#VALUE!</v>
      </c>
      <c r="Y52" s="57" t="e">
        <f>X52*(1+'Rhaniad y Ddeiliadaeth (De-ddn)'!F$109)+(X$44*(-(50-$B52)*('Rhaniad y Ddeiliadaeth (De-ddn)'!F$110/40)))</f>
        <v>#VALUE!</v>
      </c>
      <c r="Z52" s="57" t="e">
        <f>Y52*(1+'Rhaniad y Ddeiliadaeth (De-ddn)'!G$109)+(Y$44*(-(50-$B52)*('Rhaniad y Ddeiliadaeth (De-ddn)'!G$110/40)))</f>
        <v>#VALUE!</v>
      </c>
      <c r="AB52" s="1">
        <v>58</v>
      </c>
      <c r="AC52" s="4">
        <f>IF('Rhaniad y Ddeiliadaeth (Cymru)'!$D$8="Amcangyfrifon LlC",'Incwm (De-ddwyrain)'!D52,'Incwm (De-ddwyrain)'!V52)</f>
        <v>32482.64935313569</v>
      </c>
      <c r="AD52" s="4">
        <f>IF('Rhaniad y Ddeiliadaeth (Cymru)'!$D$8="Amcangyfrifon LlC",'Incwm (De-ddwyrain)'!E52,'Incwm (De-ddwyrain)'!W52)</f>
        <v>33372.23608797825</v>
      </c>
      <c r="AE52" s="4">
        <f>IF('Rhaniad y Ddeiliadaeth (Cymru)'!$D$8="Amcangyfrifon LlC",'Incwm (De-ddwyrain)'!F52,'Incwm (De-ddwyrain)'!X52)</f>
        <v>34522.764131876123</v>
      </c>
      <c r="AF52" s="4">
        <f>IF('Rhaniad y Ddeiliadaeth (Cymru)'!$D$8="Amcangyfrifon LlC",'Incwm (De-ddwyrain)'!G52,'Incwm (De-ddwyrain)'!Y52)</f>
        <v>35860.719475510894</v>
      </c>
      <c r="AG52" s="4">
        <f>IF('Rhaniad y Ddeiliadaeth (Cymru)'!$D$8="Amcangyfrifon LlC",'Incwm (De-ddwyrain)'!H52,'Incwm (De-ddwyrain)'!Z52)</f>
        <v>37285.445352352384</v>
      </c>
    </row>
    <row r="53" spans="2:33" x14ac:dyDescent="0.25">
      <c r="B53" s="20">
        <v>59</v>
      </c>
      <c r="C53" s="57">
        <v>31882.75</v>
      </c>
      <c r="D53" s="57">
        <f>C53*(1+'Rhaniad y Ddeiliadaeth (De-ddn)'!C$109)+(C$44*(-(50-$B53)*('Rhaniad y Ddeiliadaeth (De-ddn)'!C$110/40)))</f>
        <v>33069.80715924548</v>
      </c>
      <c r="E53" s="57">
        <f>D53*(1+'Rhaniad y Ddeiliadaeth (De-ddn)'!D$109)+(D$44*(-(50-$B53)*('Rhaniad y Ddeiliadaeth (De-ddn)'!D$110/40)))</f>
        <v>33981.292800136398</v>
      </c>
      <c r="F53" s="57">
        <f>E53*(1+'Rhaniad y Ddeiliadaeth (De-ddn)'!E$109)+(E$44*(-(50-$B53)*('Rhaniad y Ddeiliadaeth (De-ddn)'!E$110/40)))</f>
        <v>35158.77701315283</v>
      </c>
      <c r="G53" s="57">
        <f>F53*(1+'Rhaniad y Ddeiliadaeth (De-ddn)'!F$109)+(F$44*(-(50-$B53)*('Rhaniad y Ddeiliadaeth (De-ddn)'!F$110/40)))</f>
        <v>36527.525587108801</v>
      </c>
      <c r="H53" s="58">
        <f>G53*(1+'Rhaniad y Ddeiliadaeth (De-ddn)'!G$109)+(G$44*(-(50-$B53)*('Rhaniad y Ddeiliadaeth (De-ddn)'!G$110/40)))</f>
        <v>37985.104983520941</v>
      </c>
      <c r="L53" s="62" t="str">
        <f t="shared" si="0"/>
        <v/>
      </c>
      <c r="M53" s="227"/>
      <c r="N53" s="14">
        <f t="shared" si="3"/>
        <v>1</v>
      </c>
      <c r="T53" s="1">
        <f t="shared" si="1"/>
        <v>59</v>
      </c>
      <c r="U53" s="4" t="str">
        <f t="shared" si="2"/>
        <v/>
      </c>
      <c r="V53" s="57" t="e">
        <f>IF($K$4=$V$3,M53,U53*(1+'Rhaniad y Ddeiliadaeth (De-ddn)'!C$109)+(U$44*(-(50-$B53)*('Rhaniad y Ddeiliadaeth (De-ddn)'!C$110/40))))</f>
        <v>#VALUE!</v>
      </c>
      <c r="W53" s="57" t="e">
        <f>V53*(1+'Rhaniad y Ddeiliadaeth (De-ddn)'!D$109)+(V$44*(-(50-$B53)*('Rhaniad y Ddeiliadaeth (De-ddn)'!D$110/40)))</f>
        <v>#VALUE!</v>
      </c>
      <c r="X53" s="57" t="e">
        <f>W53*(1+'Rhaniad y Ddeiliadaeth (De-ddn)'!E$109)+(W$44*(-(50-$B53)*('Rhaniad y Ddeiliadaeth (De-ddn)'!E$110/40)))</f>
        <v>#VALUE!</v>
      </c>
      <c r="Y53" s="57" t="e">
        <f>X53*(1+'Rhaniad y Ddeiliadaeth (De-ddn)'!F$109)+(X$44*(-(50-$B53)*('Rhaniad y Ddeiliadaeth (De-ddn)'!F$110/40)))</f>
        <v>#VALUE!</v>
      </c>
      <c r="Z53" s="57" t="e">
        <f>Y53*(1+'Rhaniad y Ddeiliadaeth (De-ddn)'!G$109)+(Y$44*(-(50-$B53)*('Rhaniad y Ddeiliadaeth (De-ddn)'!G$110/40)))</f>
        <v>#VALUE!</v>
      </c>
      <c r="AB53" s="1">
        <v>59</v>
      </c>
      <c r="AC53" s="4">
        <f>IF('Rhaniad y Ddeiliadaeth (Cymru)'!$D$8="Amcangyfrifon LlC",'Incwm (De-ddwyrain)'!D53,'Incwm (De-ddwyrain)'!V53)</f>
        <v>33069.80715924548</v>
      </c>
      <c r="AD53" s="4">
        <f>IF('Rhaniad y Ddeiliadaeth (Cymru)'!$D$8="Amcangyfrifon LlC",'Incwm (De-ddwyrain)'!E53,'Incwm (De-ddwyrain)'!W53)</f>
        <v>33981.292800136398</v>
      </c>
      <c r="AE53" s="4">
        <f>IF('Rhaniad y Ddeiliadaeth (Cymru)'!$D$8="Amcangyfrifon LlC",'Incwm (De-ddwyrain)'!F53,'Incwm (De-ddwyrain)'!X53)</f>
        <v>35158.77701315283</v>
      </c>
      <c r="AF53" s="4">
        <f>IF('Rhaniad y Ddeiliadaeth (Cymru)'!$D$8="Amcangyfrifon LlC",'Incwm (De-ddwyrain)'!G53,'Incwm (De-ddwyrain)'!Y53)</f>
        <v>36527.525587108801</v>
      </c>
      <c r="AG53" s="4">
        <f>IF('Rhaniad y Ddeiliadaeth (Cymru)'!$D$8="Amcangyfrifon LlC",'Incwm (De-ddwyrain)'!H53,'Incwm (De-ddwyrain)'!Z53)</f>
        <v>37985.104983520941</v>
      </c>
    </row>
    <row r="54" spans="2:33" x14ac:dyDescent="0.25">
      <c r="B54" s="20">
        <v>60</v>
      </c>
      <c r="C54" s="57">
        <v>32711</v>
      </c>
      <c r="D54" s="57">
        <f>C54*(1+'Rhaniad y Ddeiliadaeth (De-ddn)'!C$109)+(C$44*(-(50-$B54)*('Rhaniad y Ddeiliadaeth (De-ddn)'!C$110/40)))</f>
        <v>33933.928409865963</v>
      </c>
      <c r="E54" s="57">
        <f>D54*(1+'Rhaniad y Ddeiliadaeth (De-ddn)'!D$109)+(D$44*(-(50-$B54)*('Rhaniad y Ddeiliadaeth (De-ddn)'!D$110/40)))</f>
        <v>34874.434017791478</v>
      </c>
      <c r="F54" s="57">
        <f>E54*(1+'Rhaniad y Ddeiliadaeth (De-ddn)'!E$109)+(E$44*(-(50-$B54)*('Rhaniad y Ddeiliadaeth (De-ddn)'!E$110/40)))</f>
        <v>36088.193227241609</v>
      </c>
      <c r="G54" s="57">
        <f>F54*(1+'Rhaniad y Ddeiliadaeth (De-ddn)'!F$109)+(F$44*(-(50-$B54)*('Rhaniad y Ddeiliadaeth (De-ddn)'!F$110/40)))</f>
        <v>37498.616144260413</v>
      </c>
      <c r="H54" s="58">
        <f>G54*(1+'Rhaniad y Ddeiliadaeth (De-ddn)'!G$109)+(G$44*(-(50-$B54)*('Rhaniad y Ddeiliadaeth (De-ddn)'!G$110/40)))</f>
        <v>39000.630802685206</v>
      </c>
      <c r="L54" s="62" t="str">
        <f t="shared" si="0"/>
        <v/>
      </c>
      <c r="M54" s="227"/>
      <c r="N54" s="14">
        <f t="shared" si="3"/>
        <v>1</v>
      </c>
      <c r="T54" s="1">
        <f t="shared" si="1"/>
        <v>60</v>
      </c>
      <c r="U54" s="4" t="str">
        <f t="shared" si="2"/>
        <v/>
      </c>
      <c r="V54" s="57" t="e">
        <f>IF($K$4=$V$3,M54,U54*(1+'Rhaniad y Ddeiliadaeth (De-ddn)'!C$109)+(U$44*(-(50-$B54)*('Rhaniad y Ddeiliadaeth (De-ddn)'!C$110/40))))</f>
        <v>#VALUE!</v>
      </c>
      <c r="W54" s="57" t="e">
        <f>V54*(1+'Rhaniad y Ddeiliadaeth (De-ddn)'!D$109)+(V$44*(-(50-$B54)*('Rhaniad y Ddeiliadaeth (De-ddn)'!D$110/40)))</f>
        <v>#VALUE!</v>
      </c>
      <c r="X54" s="57" t="e">
        <f>W54*(1+'Rhaniad y Ddeiliadaeth (De-ddn)'!E$109)+(W$44*(-(50-$B54)*('Rhaniad y Ddeiliadaeth (De-ddn)'!E$110/40)))</f>
        <v>#VALUE!</v>
      </c>
      <c r="Y54" s="57" t="e">
        <f>X54*(1+'Rhaniad y Ddeiliadaeth (De-ddn)'!F$109)+(X$44*(-(50-$B54)*('Rhaniad y Ddeiliadaeth (De-ddn)'!F$110/40)))</f>
        <v>#VALUE!</v>
      </c>
      <c r="Z54" s="57" t="e">
        <f>Y54*(1+'Rhaniad y Ddeiliadaeth (De-ddn)'!G$109)+(Y$44*(-(50-$B54)*('Rhaniad y Ddeiliadaeth (De-ddn)'!G$110/40)))</f>
        <v>#VALUE!</v>
      </c>
      <c r="AB54" s="1">
        <v>60</v>
      </c>
      <c r="AC54" s="4">
        <f>IF('Rhaniad y Ddeiliadaeth (Cymru)'!$D$8="Amcangyfrifon LlC",'Incwm (De-ddwyrain)'!D54,'Incwm (De-ddwyrain)'!V54)</f>
        <v>33933.928409865963</v>
      </c>
      <c r="AD54" s="4">
        <f>IF('Rhaniad y Ddeiliadaeth (Cymru)'!$D$8="Amcangyfrifon LlC",'Incwm (De-ddwyrain)'!E54,'Incwm (De-ddwyrain)'!W54)</f>
        <v>34874.434017791478</v>
      </c>
      <c r="AE54" s="4">
        <f>IF('Rhaniad y Ddeiliadaeth (Cymru)'!$D$8="Amcangyfrifon LlC",'Incwm (De-ddwyrain)'!F54,'Incwm (De-ddwyrain)'!X54)</f>
        <v>36088.193227241609</v>
      </c>
      <c r="AF54" s="4">
        <f>IF('Rhaniad y Ddeiliadaeth (Cymru)'!$D$8="Amcangyfrifon LlC",'Incwm (De-ddwyrain)'!G54,'Incwm (De-ddwyrain)'!Y54)</f>
        <v>37498.616144260413</v>
      </c>
      <c r="AG54" s="4">
        <f>IF('Rhaniad y Ddeiliadaeth (Cymru)'!$D$8="Amcangyfrifon LlC",'Incwm (De-ddwyrain)'!H54,'Incwm (De-ddwyrain)'!Z54)</f>
        <v>39000.630802685206</v>
      </c>
    </row>
    <row r="55" spans="2:33" x14ac:dyDescent="0.25">
      <c r="B55" s="20">
        <v>61</v>
      </c>
      <c r="C55" s="57">
        <v>33336.25</v>
      </c>
      <c r="D55" s="57">
        <f>C55*(1+'Rhaniad y Ddeiliadaeth (De-ddn)'!C$109)+(C$44*(-(50-$B55)*('Rhaniad y Ddeiliadaeth (De-ddn)'!C$110/40)))</f>
        <v>34587.868055867111</v>
      </c>
      <c r="E55" s="57">
        <f>D55*(1+'Rhaniad y Ddeiliadaeth (De-ddn)'!D$109)+(D$44*(-(50-$B55)*('Rhaniad y Ddeiliadaeth (De-ddn)'!D$110/40)))</f>
        <v>35551.989610714299</v>
      </c>
      <c r="F55" s="57">
        <f>E55*(1+'Rhaniad y Ddeiliadaeth (De-ddn)'!E$109)+(E$44*(-(50-$B55)*('Rhaniad y Ddeiliadaeth (De-ddn)'!E$110/40)))</f>
        <v>36794.951958859914</v>
      </c>
      <c r="G55" s="57">
        <f>F55*(1+'Rhaniad y Ddeiliadaeth (De-ddn)'!F$109)+(F$44*(-(50-$B55)*('Rhaniad y Ddeiliadaeth (De-ddn)'!F$110/40)))</f>
        <v>38238.791776375001</v>
      </c>
      <c r="H55" s="58">
        <f>G55*(1+'Rhaniad y Ddeiliadaeth (De-ddn)'!G$109)+(G$44*(-(50-$B55)*('Rhaniad y Ddeiliadaeth (De-ddn)'!G$110/40)))</f>
        <v>39776.452561426551</v>
      </c>
      <c r="L55" s="62" t="str">
        <f t="shared" si="0"/>
        <v/>
      </c>
      <c r="M55" s="227"/>
      <c r="N55" s="14">
        <f t="shared" si="3"/>
        <v>1</v>
      </c>
      <c r="T55" s="1">
        <f t="shared" si="1"/>
        <v>61</v>
      </c>
      <c r="U55" s="4" t="str">
        <f t="shared" si="2"/>
        <v/>
      </c>
      <c r="V55" s="57" t="e">
        <f>IF($K$4=$V$3,M55,U55*(1+'Rhaniad y Ddeiliadaeth (De-ddn)'!C$109)+(U$44*(-(50-$B55)*('Rhaniad y Ddeiliadaeth (De-ddn)'!C$110/40))))</f>
        <v>#VALUE!</v>
      </c>
      <c r="W55" s="57" t="e">
        <f>V55*(1+'Rhaniad y Ddeiliadaeth (De-ddn)'!D$109)+(V$44*(-(50-$B55)*('Rhaniad y Ddeiliadaeth (De-ddn)'!D$110/40)))</f>
        <v>#VALUE!</v>
      </c>
      <c r="X55" s="57" t="e">
        <f>W55*(1+'Rhaniad y Ddeiliadaeth (De-ddn)'!E$109)+(W$44*(-(50-$B55)*('Rhaniad y Ddeiliadaeth (De-ddn)'!E$110/40)))</f>
        <v>#VALUE!</v>
      </c>
      <c r="Y55" s="57" t="e">
        <f>X55*(1+'Rhaniad y Ddeiliadaeth (De-ddn)'!F$109)+(X$44*(-(50-$B55)*('Rhaniad y Ddeiliadaeth (De-ddn)'!F$110/40)))</f>
        <v>#VALUE!</v>
      </c>
      <c r="Z55" s="57" t="e">
        <f>Y55*(1+'Rhaniad y Ddeiliadaeth (De-ddn)'!G$109)+(Y$44*(-(50-$B55)*('Rhaniad y Ddeiliadaeth (De-ddn)'!G$110/40)))</f>
        <v>#VALUE!</v>
      </c>
      <c r="AB55" s="1">
        <v>61</v>
      </c>
      <c r="AC55" s="4">
        <f>IF('Rhaniad y Ddeiliadaeth (Cymru)'!$D$8="Amcangyfrifon LlC",'Incwm (De-ddwyrain)'!D55,'Incwm (De-ddwyrain)'!V55)</f>
        <v>34587.868055867111</v>
      </c>
      <c r="AD55" s="4">
        <f>IF('Rhaniad y Ddeiliadaeth (Cymru)'!$D$8="Amcangyfrifon LlC",'Incwm (De-ddwyrain)'!E55,'Incwm (De-ddwyrain)'!W55)</f>
        <v>35551.989610714299</v>
      </c>
      <c r="AE55" s="4">
        <f>IF('Rhaniad y Ddeiliadaeth (Cymru)'!$D$8="Amcangyfrifon LlC",'Incwm (De-ddwyrain)'!F55,'Incwm (De-ddwyrain)'!X55)</f>
        <v>36794.951958859914</v>
      </c>
      <c r="AF55" s="4">
        <f>IF('Rhaniad y Ddeiliadaeth (Cymru)'!$D$8="Amcangyfrifon LlC",'Incwm (De-ddwyrain)'!G55,'Incwm (De-ddwyrain)'!Y55)</f>
        <v>38238.791776375001</v>
      </c>
      <c r="AG55" s="4">
        <f>IF('Rhaniad y Ddeiliadaeth (Cymru)'!$D$8="Amcangyfrifon LlC",'Incwm (De-ddwyrain)'!H55,'Incwm (De-ddwyrain)'!Z55)</f>
        <v>39776.452561426551</v>
      </c>
    </row>
    <row r="56" spans="2:33" x14ac:dyDescent="0.25">
      <c r="B56" s="20">
        <v>62</v>
      </c>
      <c r="C56" s="57">
        <v>34285</v>
      </c>
      <c r="D56" s="57">
        <f>C56*(1+'Rhaniad y Ddeiliadaeth (De-ddn)'!C$109)+(C$44*(-(50-$B56)*('Rhaniad y Ddeiliadaeth (De-ddn)'!C$110/40)))</f>
        <v>35576.752278687731</v>
      </c>
      <c r="E56" s="57">
        <f>D56*(1+'Rhaniad y Ddeiliadaeth (De-ddn)'!D$109)+(D$44*(-(50-$B56)*('Rhaniad y Ddeiliadaeth (De-ddn)'!D$110/40)))</f>
        <v>36573.101605611926</v>
      </c>
      <c r="F56" s="57">
        <f>E56*(1+'Rhaniad y Ddeiliadaeth (De-ddn)'!E$109)+(E$44*(-(50-$B56)*('Rhaniad y Ddeiliadaeth (De-ddn)'!E$110/40)))</f>
        <v>37856.536777075249</v>
      </c>
      <c r="G56" s="57">
        <f>F56*(1+'Rhaniad y Ddeiliadaeth (De-ddn)'!F$109)+(F$44*(-(50-$B56)*('Rhaniad y Ddeiliadaeth (De-ddn)'!F$110/40)))</f>
        <v>39346.952523019041</v>
      </c>
      <c r="H56" s="58">
        <f>G56*(1+'Rhaniad y Ddeiliadaeth (De-ddn)'!G$109)+(G$44*(-(50-$B56)*('Rhaniad y Ddeiliadaeth (De-ddn)'!G$110/40)))</f>
        <v>40934.265766211334</v>
      </c>
      <c r="L56" s="62" t="str">
        <f t="shared" si="0"/>
        <v/>
      </c>
      <c r="M56" s="227"/>
      <c r="N56" s="14">
        <f t="shared" si="3"/>
        <v>1</v>
      </c>
      <c r="T56" s="1">
        <f t="shared" si="1"/>
        <v>62</v>
      </c>
      <c r="U56" s="4" t="str">
        <f t="shared" si="2"/>
        <v/>
      </c>
      <c r="V56" s="57" t="e">
        <f>IF($K$4=$V$3,M56,U56*(1+'Rhaniad y Ddeiliadaeth (De-ddn)'!C$109)+(U$44*(-(50-$B56)*('Rhaniad y Ddeiliadaeth (De-ddn)'!C$110/40))))</f>
        <v>#VALUE!</v>
      </c>
      <c r="W56" s="57" t="e">
        <f>V56*(1+'Rhaniad y Ddeiliadaeth (De-ddn)'!D$109)+(V$44*(-(50-$B56)*('Rhaniad y Ddeiliadaeth (De-ddn)'!D$110/40)))</f>
        <v>#VALUE!</v>
      </c>
      <c r="X56" s="57" t="e">
        <f>W56*(1+'Rhaniad y Ddeiliadaeth (De-ddn)'!E$109)+(W$44*(-(50-$B56)*('Rhaniad y Ddeiliadaeth (De-ddn)'!E$110/40)))</f>
        <v>#VALUE!</v>
      </c>
      <c r="Y56" s="57" t="e">
        <f>X56*(1+'Rhaniad y Ddeiliadaeth (De-ddn)'!F$109)+(X$44*(-(50-$B56)*('Rhaniad y Ddeiliadaeth (De-ddn)'!F$110/40)))</f>
        <v>#VALUE!</v>
      </c>
      <c r="Z56" s="57" t="e">
        <f>Y56*(1+'Rhaniad y Ddeiliadaeth (De-ddn)'!G$109)+(Y$44*(-(50-$B56)*('Rhaniad y Ddeiliadaeth (De-ddn)'!G$110/40)))</f>
        <v>#VALUE!</v>
      </c>
      <c r="AB56" s="1">
        <v>62</v>
      </c>
      <c r="AC56" s="4">
        <f>IF('Rhaniad y Ddeiliadaeth (Cymru)'!$D$8="Amcangyfrifon LlC",'Incwm (De-ddwyrain)'!D56,'Incwm (De-ddwyrain)'!V56)</f>
        <v>35576.752278687731</v>
      </c>
      <c r="AD56" s="4">
        <f>IF('Rhaniad y Ddeiliadaeth (Cymru)'!$D$8="Amcangyfrifon LlC",'Incwm (De-ddwyrain)'!E56,'Incwm (De-ddwyrain)'!W56)</f>
        <v>36573.101605611926</v>
      </c>
      <c r="AE56" s="4">
        <f>IF('Rhaniad y Ddeiliadaeth (Cymru)'!$D$8="Amcangyfrifon LlC",'Incwm (De-ddwyrain)'!F56,'Incwm (De-ddwyrain)'!X56)</f>
        <v>37856.536777075249</v>
      </c>
      <c r="AF56" s="4">
        <f>IF('Rhaniad y Ddeiliadaeth (Cymru)'!$D$8="Amcangyfrifon LlC",'Incwm (De-ddwyrain)'!G56,'Incwm (De-ddwyrain)'!Y56)</f>
        <v>39346.952523019041</v>
      </c>
      <c r="AG56" s="4">
        <f>IF('Rhaniad y Ddeiliadaeth (Cymru)'!$D$8="Amcangyfrifon LlC",'Incwm (De-ddwyrain)'!H56,'Incwm (De-ddwyrain)'!Z56)</f>
        <v>40934.265766211334</v>
      </c>
    </row>
    <row r="57" spans="2:33" x14ac:dyDescent="0.25">
      <c r="B57" s="20">
        <v>63</v>
      </c>
      <c r="C57" s="57">
        <v>35260.25</v>
      </c>
      <c r="D57" s="57">
        <f>C57*(1+'Rhaniad y Ddeiliadaeth (De-ddn)'!C$109)+(C$44*(-(50-$B57)*('Rhaniad y Ddeiliadaeth (De-ddn)'!C$110/40)))</f>
        <v>36593.074001618756</v>
      </c>
      <c r="E57" s="57">
        <f>D57*(1+'Rhaniad y Ddeiliadaeth (De-ddn)'!D$109)+(D$44*(-(50-$B57)*('Rhaniad y Ddeiliadaeth (De-ddn)'!D$110/40)))</f>
        <v>37622.3565515214</v>
      </c>
      <c r="F57" s="57">
        <f>E57*(1+'Rhaniad y Ddeiliadaeth (De-ddn)'!E$109)+(E$44*(-(50-$B57)*('Rhaniad y Ddeiliadaeth (De-ddn)'!E$110/40)))</f>
        <v>38947.187719849542</v>
      </c>
      <c r="G57" s="57">
        <f>F57*(1+'Rhaniad y Ddeiliadaeth (De-ddn)'!F$109)+(F$44*(-(50-$B57)*('Rhaniad y Ddeiliadaeth (De-ddn)'!F$110/40)))</f>
        <v>40485.25733623196</v>
      </c>
      <c r="H57" s="58">
        <f>G57*(1+'Rhaniad y Ddeiliadaeth (De-ddn)'!G$109)+(G$44*(-(50-$B57)*('Rhaniad y Ddeiliadaeth (De-ddn)'!G$110/40)))</f>
        <v>42123.370387750831</v>
      </c>
      <c r="L57" s="62" t="str">
        <f t="shared" si="0"/>
        <v/>
      </c>
      <c r="M57" s="227"/>
      <c r="N57" s="14">
        <f t="shared" si="3"/>
        <v>1</v>
      </c>
      <c r="T57" s="1">
        <f t="shared" si="1"/>
        <v>63</v>
      </c>
      <c r="U57" s="4" t="str">
        <f t="shared" si="2"/>
        <v/>
      </c>
      <c r="V57" s="57" t="e">
        <f>IF($K$4=$V$3,M57,U57*(1+'Rhaniad y Ddeiliadaeth (De-ddn)'!C$109)+(U$44*(-(50-$B57)*('Rhaniad y Ddeiliadaeth (De-ddn)'!C$110/40))))</f>
        <v>#VALUE!</v>
      </c>
      <c r="W57" s="57" t="e">
        <f>V57*(1+'Rhaniad y Ddeiliadaeth (De-ddn)'!D$109)+(V$44*(-(50-$B57)*('Rhaniad y Ddeiliadaeth (De-ddn)'!D$110/40)))</f>
        <v>#VALUE!</v>
      </c>
      <c r="X57" s="57" t="e">
        <f>W57*(1+'Rhaniad y Ddeiliadaeth (De-ddn)'!E$109)+(W$44*(-(50-$B57)*('Rhaniad y Ddeiliadaeth (De-ddn)'!E$110/40)))</f>
        <v>#VALUE!</v>
      </c>
      <c r="Y57" s="57" t="e">
        <f>X57*(1+'Rhaniad y Ddeiliadaeth (De-ddn)'!F$109)+(X$44*(-(50-$B57)*('Rhaniad y Ddeiliadaeth (De-ddn)'!F$110/40)))</f>
        <v>#VALUE!</v>
      </c>
      <c r="Z57" s="57" t="e">
        <f>Y57*(1+'Rhaniad y Ddeiliadaeth (De-ddn)'!G$109)+(Y$44*(-(50-$B57)*('Rhaniad y Ddeiliadaeth (De-ddn)'!G$110/40)))</f>
        <v>#VALUE!</v>
      </c>
      <c r="AB57" s="1">
        <v>63</v>
      </c>
      <c r="AC57" s="4">
        <f>IF('Rhaniad y Ddeiliadaeth (Cymru)'!$D$8="Amcangyfrifon LlC",'Incwm (De-ddwyrain)'!D57,'Incwm (De-ddwyrain)'!V57)</f>
        <v>36593.074001618756</v>
      </c>
      <c r="AD57" s="4">
        <f>IF('Rhaniad y Ddeiliadaeth (Cymru)'!$D$8="Amcangyfrifon LlC",'Incwm (De-ddwyrain)'!E57,'Incwm (De-ddwyrain)'!W57)</f>
        <v>37622.3565515214</v>
      </c>
      <c r="AE57" s="4">
        <f>IF('Rhaniad y Ddeiliadaeth (Cymru)'!$D$8="Amcangyfrifon LlC",'Incwm (De-ddwyrain)'!F57,'Incwm (De-ddwyrain)'!X57)</f>
        <v>38947.187719849542</v>
      </c>
      <c r="AF57" s="4">
        <f>IF('Rhaniad y Ddeiliadaeth (Cymru)'!$D$8="Amcangyfrifon LlC",'Incwm (De-ddwyrain)'!G57,'Incwm (De-ddwyrain)'!Y57)</f>
        <v>40485.25733623196</v>
      </c>
      <c r="AG57" s="4">
        <f>IF('Rhaniad y Ddeiliadaeth (Cymru)'!$D$8="Amcangyfrifon LlC",'Incwm (De-ddwyrain)'!H57,'Incwm (De-ddwyrain)'!Z57)</f>
        <v>42123.370387750831</v>
      </c>
    </row>
    <row r="58" spans="2:33" x14ac:dyDescent="0.25">
      <c r="B58" s="20">
        <v>64</v>
      </c>
      <c r="C58" s="57">
        <v>35961</v>
      </c>
      <c r="D58" s="57">
        <f>C58*(1+'Rhaniad y Ddeiliadaeth (De-ddn)'!C$109)+(C$44*(-(50-$B58)*('Rhaniad y Ddeiliadaeth (De-ddn)'!C$110/40)))</f>
        <v>37325.184638500497</v>
      </c>
      <c r="E58" s="57">
        <f>D58*(1+'Rhaniad y Ddeiliadaeth (De-ddn)'!D$109)+(D$44*(-(50-$B58)*('Rhaniad y Ddeiliadaeth (De-ddn)'!D$110/40)))</f>
        <v>38380.093004874208</v>
      </c>
      <c r="F58" s="57">
        <f>E58*(1+'Rhaniad y Ddeiliadaeth (De-ddn)'!E$109)+(E$44*(-(50-$B58)*('Rhaniad y Ddeiliadaeth (De-ddn)'!E$110/40)))</f>
        <v>39736.757485588649</v>
      </c>
      <c r="G58" s="57">
        <f>F58*(1+'Rhaniad y Ddeiliadaeth (De-ddn)'!F$109)+(F$44*(-(50-$B58)*('Rhaniad y Ddeiliadaeth (De-ddn)'!F$110/40)))</f>
        <v>41311.315120269195</v>
      </c>
      <c r="H58" s="58">
        <f>G58*(1+'Rhaniad y Ddeiliadaeth (De-ddn)'!G$109)+(G$44*(-(50-$B58)*('Rhaniad y Ddeiliadaeth (De-ddn)'!G$110/40)))</f>
        <v>42988.343164038648</v>
      </c>
      <c r="L58" s="62" t="str">
        <f t="shared" si="0"/>
        <v/>
      </c>
      <c r="M58" s="227"/>
      <c r="N58" s="14">
        <f t="shared" si="3"/>
        <v>1</v>
      </c>
      <c r="T58" s="1">
        <f t="shared" si="1"/>
        <v>64</v>
      </c>
      <c r="U58" s="4" t="str">
        <f t="shared" si="2"/>
        <v/>
      </c>
      <c r="V58" s="57" t="e">
        <f>IF($K$4=$V$3,M58,U58*(1+'Rhaniad y Ddeiliadaeth (De-ddn)'!C$109)+(U$44*(-(50-$B58)*('Rhaniad y Ddeiliadaeth (De-ddn)'!C$110/40))))</f>
        <v>#VALUE!</v>
      </c>
      <c r="W58" s="57" t="e">
        <f>V58*(1+'Rhaniad y Ddeiliadaeth (De-ddn)'!D$109)+(V$44*(-(50-$B58)*('Rhaniad y Ddeiliadaeth (De-ddn)'!D$110/40)))</f>
        <v>#VALUE!</v>
      </c>
      <c r="X58" s="57" t="e">
        <f>W58*(1+'Rhaniad y Ddeiliadaeth (De-ddn)'!E$109)+(W$44*(-(50-$B58)*('Rhaniad y Ddeiliadaeth (De-ddn)'!E$110/40)))</f>
        <v>#VALUE!</v>
      </c>
      <c r="Y58" s="57" t="e">
        <f>X58*(1+'Rhaniad y Ddeiliadaeth (De-ddn)'!F$109)+(X$44*(-(50-$B58)*('Rhaniad y Ddeiliadaeth (De-ddn)'!F$110/40)))</f>
        <v>#VALUE!</v>
      </c>
      <c r="Z58" s="57" t="e">
        <f>Y58*(1+'Rhaniad y Ddeiliadaeth (De-ddn)'!G$109)+(Y$44*(-(50-$B58)*('Rhaniad y Ddeiliadaeth (De-ddn)'!G$110/40)))</f>
        <v>#VALUE!</v>
      </c>
      <c r="AB58" s="1">
        <v>64</v>
      </c>
      <c r="AC58" s="4">
        <f>IF('Rhaniad y Ddeiliadaeth (Cymru)'!$D$8="Amcangyfrifon LlC",'Incwm (De-ddwyrain)'!D58,'Incwm (De-ddwyrain)'!V58)</f>
        <v>37325.184638500497</v>
      </c>
      <c r="AD58" s="4">
        <f>IF('Rhaniad y Ddeiliadaeth (Cymru)'!$D$8="Amcangyfrifon LlC",'Incwm (De-ddwyrain)'!E58,'Incwm (De-ddwyrain)'!W58)</f>
        <v>38380.093004874208</v>
      </c>
      <c r="AE58" s="4">
        <f>IF('Rhaniad y Ddeiliadaeth (Cymru)'!$D$8="Amcangyfrifon LlC",'Incwm (De-ddwyrain)'!F58,'Incwm (De-ddwyrain)'!X58)</f>
        <v>39736.757485588649</v>
      </c>
      <c r="AF58" s="4">
        <f>IF('Rhaniad y Ddeiliadaeth (Cymru)'!$D$8="Amcangyfrifon LlC",'Incwm (De-ddwyrain)'!G58,'Incwm (De-ddwyrain)'!Y58)</f>
        <v>41311.315120269195</v>
      </c>
      <c r="AG58" s="4">
        <f>IF('Rhaniad y Ddeiliadaeth (Cymru)'!$D$8="Amcangyfrifon LlC",'Incwm (De-ddwyrain)'!H58,'Incwm (De-ddwyrain)'!Z58)</f>
        <v>42988.343164038648</v>
      </c>
    </row>
    <row r="59" spans="2:33" x14ac:dyDescent="0.25">
      <c r="B59" s="20">
        <v>65</v>
      </c>
      <c r="C59" s="57">
        <v>36803.1</v>
      </c>
      <c r="D59" s="57">
        <f>C59*(1+'Rhaniad y Ddeiliadaeth (De-ddn)'!C$109)+(C$44*(-(50-$B59)*('Rhaniad y Ddeiliadaeth (De-ddn)'!C$110/40)))</f>
        <v>38203.645865593768</v>
      </c>
      <c r="E59" s="57">
        <f>D59*(1+'Rhaniad y Ddeiliadaeth (De-ddn)'!D$109)+(D$44*(-(50-$B59)*('Rhaniad y Ddeiliadaeth (De-ddn)'!D$110/40)))</f>
        <v>39287.942896926041</v>
      </c>
      <c r="F59" s="57">
        <f>E59*(1+'Rhaniad y Ddeiliadaeth (De-ddn)'!E$109)+(E$44*(-(50-$B59)*('Rhaniad y Ddeiliadaeth (De-ddn)'!E$110/40)))</f>
        <v>40681.364862890303</v>
      </c>
      <c r="G59" s="57">
        <f>F59*(1+'Rhaniad y Ddeiliadaeth (De-ddn)'!F$109)+(F$44*(-(50-$B59)*('Rhaniad y Ddeiliadaeth (De-ddn)'!F$110/40)))</f>
        <v>42298.160217872835</v>
      </c>
      <c r="H59" s="58">
        <f>G59*(1+'Rhaniad y Ddeiliadaeth (De-ddn)'!G$109)+(G$44*(-(50-$B59)*('Rhaniad y Ddeiliadaeth (De-ddn)'!G$110/40)))</f>
        <v>44020.223176487925</v>
      </c>
      <c r="L59" s="62" t="str">
        <f t="shared" si="0"/>
        <v/>
      </c>
      <c r="M59" s="227"/>
      <c r="N59" s="14">
        <f t="shared" si="3"/>
        <v>1</v>
      </c>
      <c r="T59" s="1">
        <f t="shared" si="1"/>
        <v>65</v>
      </c>
      <c r="U59" s="4" t="str">
        <f t="shared" si="2"/>
        <v/>
      </c>
      <c r="V59" s="57" t="e">
        <f>IF($K$4=$V$3,M59,U59*(1+'Rhaniad y Ddeiliadaeth (De-ddn)'!C$109)+(U$44*(-(50-$B59)*('Rhaniad y Ddeiliadaeth (De-ddn)'!C$110/40))))</f>
        <v>#VALUE!</v>
      </c>
      <c r="W59" s="57" t="e">
        <f>V59*(1+'Rhaniad y Ddeiliadaeth (De-ddn)'!D$109)+(V$44*(-(50-$B59)*('Rhaniad y Ddeiliadaeth (De-ddn)'!D$110/40)))</f>
        <v>#VALUE!</v>
      </c>
      <c r="X59" s="57" t="e">
        <f>W59*(1+'Rhaniad y Ddeiliadaeth (De-ddn)'!E$109)+(W$44*(-(50-$B59)*('Rhaniad y Ddeiliadaeth (De-ddn)'!E$110/40)))</f>
        <v>#VALUE!</v>
      </c>
      <c r="Y59" s="57" t="e">
        <f>X59*(1+'Rhaniad y Ddeiliadaeth (De-ddn)'!F$109)+(X$44*(-(50-$B59)*('Rhaniad y Ddeiliadaeth (De-ddn)'!F$110/40)))</f>
        <v>#VALUE!</v>
      </c>
      <c r="Z59" s="57" t="e">
        <f>Y59*(1+'Rhaniad y Ddeiliadaeth (De-ddn)'!G$109)+(Y$44*(-(50-$B59)*('Rhaniad y Ddeiliadaeth (De-ddn)'!G$110/40)))</f>
        <v>#VALUE!</v>
      </c>
      <c r="AB59" s="1">
        <v>65</v>
      </c>
      <c r="AC59" s="4">
        <f>IF('Rhaniad y Ddeiliadaeth (Cymru)'!$D$8="Amcangyfrifon LlC",'Incwm (De-ddwyrain)'!D59,'Incwm (De-ddwyrain)'!V59)</f>
        <v>38203.645865593768</v>
      </c>
      <c r="AD59" s="4">
        <f>IF('Rhaniad y Ddeiliadaeth (Cymru)'!$D$8="Amcangyfrifon LlC",'Incwm (De-ddwyrain)'!E59,'Incwm (De-ddwyrain)'!W59)</f>
        <v>39287.942896926041</v>
      </c>
      <c r="AE59" s="4">
        <f>IF('Rhaniad y Ddeiliadaeth (Cymru)'!$D$8="Amcangyfrifon LlC",'Incwm (De-ddwyrain)'!F59,'Incwm (De-ddwyrain)'!X59)</f>
        <v>40681.364862890303</v>
      </c>
      <c r="AF59" s="4">
        <f>IF('Rhaniad y Ddeiliadaeth (Cymru)'!$D$8="Amcangyfrifon LlC",'Incwm (De-ddwyrain)'!G59,'Incwm (De-ddwyrain)'!Y59)</f>
        <v>42298.160217872835</v>
      </c>
      <c r="AG59" s="4">
        <f>IF('Rhaniad y Ddeiliadaeth (Cymru)'!$D$8="Amcangyfrifon LlC",'Incwm (De-ddwyrain)'!H59,'Incwm (De-ddwyrain)'!Z59)</f>
        <v>44020.223176487925</v>
      </c>
    </row>
    <row r="60" spans="2:33" x14ac:dyDescent="0.25">
      <c r="B60" s="20">
        <v>66</v>
      </c>
      <c r="C60" s="57">
        <v>37179.4</v>
      </c>
      <c r="D60" s="57">
        <f>C60*(1+'Rhaniad y Ddeiliadaeth (De-ddn)'!C$109)+(C$44*(-(50-$B60)*('Rhaniad y Ddeiliadaeth (De-ddn)'!C$110/40)))</f>
        <v>38599.828317161518</v>
      </c>
      <c r="E60" s="57">
        <f>D60*(1+'Rhaniad y Ddeiliadaeth (De-ddn)'!D$109)+(D$44*(-(50-$B60)*('Rhaniad y Ddeiliadaeth (De-ddn)'!D$110/40)))</f>
        <v>39701.114050060234</v>
      </c>
      <c r="F60" s="57">
        <f>E60*(1+'Rhaniad y Ddeiliadaeth (De-ddn)'!E$109)+(E$44*(-(50-$B60)*('Rhaniad y Ddeiliadaeth (De-ddn)'!E$110/40)))</f>
        <v>41115.066548887822</v>
      </c>
      <c r="G60" s="57">
        <f>F60*(1+'Rhaniad y Ddeiliadaeth (De-ddn)'!F$109)+(F$44*(-(50-$B60)*('Rhaniad y Ddeiliadaeth (De-ddn)'!F$110/40)))</f>
        <v>42755.152251031926</v>
      </c>
      <c r="H60" s="58">
        <f>G60*(1+'Rhaniad y Ddeiliadaeth (De-ddn)'!G$109)+(G$44*(-(50-$B60)*('Rhaniad y Ddeiliadaeth (De-ddn)'!G$110/40)))</f>
        <v>44502.08273896185</v>
      </c>
      <c r="L60" s="62" t="str">
        <f t="shared" si="0"/>
        <v/>
      </c>
      <c r="M60" s="227"/>
      <c r="N60" s="14">
        <f t="shared" si="3"/>
        <v>1</v>
      </c>
      <c r="T60" s="1">
        <f t="shared" si="1"/>
        <v>66</v>
      </c>
      <c r="U60" s="4" t="str">
        <f t="shared" si="2"/>
        <v/>
      </c>
      <c r="V60" s="57" t="e">
        <f>IF($K$4=$V$3,M60,U60*(1+'Rhaniad y Ddeiliadaeth (De-ddn)'!C$109)+(U$44*(-(50-$B60)*('Rhaniad y Ddeiliadaeth (De-ddn)'!C$110/40))))</f>
        <v>#VALUE!</v>
      </c>
      <c r="W60" s="57" t="e">
        <f>V60*(1+'Rhaniad y Ddeiliadaeth (De-ddn)'!D$109)+(V$44*(-(50-$B60)*('Rhaniad y Ddeiliadaeth (De-ddn)'!D$110/40)))</f>
        <v>#VALUE!</v>
      </c>
      <c r="X60" s="57" t="e">
        <f>W60*(1+'Rhaniad y Ddeiliadaeth (De-ddn)'!E$109)+(W$44*(-(50-$B60)*('Rhaniad y Ddeiliadaeth (De-ddn)'!E$110/40)))</f>
        <v>#VALUE!</v>
      </c>
      <c r="Y60" s="57" t="e">
        <f>X60*(1+'Rhaniad y Ddeiliadaeth (De-ddn)'!F$109)+(X$44*(-(50-$B60)*('Rhaniad y Ddeiliadaeth (De-ddn)'!F$110/40)))</f>
        <v>#VALUE!</v>
      </c>
      <c r="Z60" s="57" t="e">
        <f>Y60*(1+'Rhaniad y Ddeiliadaeth (De-ddn)'!G$109)+(Y$44*(-(50-$B60)*('Rhaniad y Ddeiliadaeth (De-ddn)'!G$110/40)))</f>
        <v>#VALUE!</v>
      </c>
      <c r="AB60" s="1">
        <v>66</v>
      </c>
      <c r="AC60" s="4">
        <f>IF('Rhaniad y Ddeiliadaeth (Cymru)'!$D$8="Amcangyfrifon LlC",'Incwm (De-ddwyrain)'!D60,'Incwm (De-ddwyrain)'!V60)</f>
        <v>38599.828317161518</v>
      </c>
      <c r="AD60" s="4">
        <f>IF('Rhaniad y Ddeiliadaeth (Cymru)'!$D$8="Amcangyfrifon LlC",'Incwm (De-ddwyrain)'!E60,'Incwm (De-ddwyrain)'!W60)</f>
        <v>39701.114050060234</v>
      </c>
      <c r="AE60" s="4">
        <f>IF('Rhaniad y Ddeiliadaeth (Cymru)'!$D$8="Amcangyfrifon LlC",'Incwm (De-ddwyrain)'!F60,'Incwm (De-ddwyrain)'!X60)</f>
        <v>41115.066548887822</v>
      </c>
      <c r="AF60" s="4">
        <f>IF('Rhaniad y Ddeiliadaeth (Cymru)'!$D$8="Amcangyfrifon LlC",'Incwm (De-ddwyrain)'!G60,'Incwm (De-ddwyrain)'!Y60)</f>
        <v>42755.152251031926</v>
      </c>
      <c r="AG60" s="4">
        <f>IF('Rhaniad y Ddeiliadaeth (Cymru)'!$D$8="Amcangyfrifon LlC",'Incwm (De-ddwyrain)'!H60,'Incwm (De-ddwyrain)'!Z60)</f>
        <v>44502.08273896185</v>
      </c>
    </row>
    <row r="61" spans="2:33" x14ac:dyDescent="0.25">
      <c r="B61" s="20">
        <v>67</v>
      </c>
      <c r="C61" s="57">
        <v>37778</v>
      </c>
      <c r="D61" s="57">
        <f>C61*(1+'Rhaniad y Ddeiliadaeth (De-ddn)'!C$109)+(C$44*(-(50-$B61)*('Rhaniad y Ddeiliadaeth (De-ddn)'!C$110/40)))</f>
        <v>39226.175156447862</v>
      </c>
      <c r="E61" s="57">
        <f>D61*(1+'Rhaniad y Ddeiliadaeth (De-ddn)'!D$109)+(D$44*(-(50-$B61)*('Rhaniad y Ddeiliadaeth (De-ddn)'!D$110/40)))</f>
        <v>40350.367392248503</v>
      </c>
      <c r="F61" s="57">
        <f>E61*(1+'Rhaniad y Ddeiliadaeth (De-ddn)'!E$109)+(E$44*(-(50-$B61)*('Rhaniad y Ddeiliadaeth (De-ddn)'!E$110/40)))</f>
        <v>41792.594630713822</v>
      </c>
      <c r="G61" s="57">
        <f>F61*(1+'Rhaniad y Ddeiliadaeth (De-ddn)'!F$109)+(F$44*(-(50-$B61)*('Rhaniad y Ddeiliadaeth (De-ddn)'!F$110/40)))</f>
        <v>43465.013189785743</v>
      </c>
      <c r="H61" s="58">
        <f>G61*(1+'Rhaniad y Ddeiliadaeth (De-ddn)'!G$109)+(G$44*(-(50-$B61)*('Rhaniad y Ddeiliadaeth (De-ddn)'!G$110/40)))</f>
        <v>45246.435959721559</v>
      </c>
      <c r="L61" s="62" t="str">
        <f t="shared" si="0"/>
        <v/>
      </c>
      <c r="M61" s="227"/>
      <c r="N61" s="14">
        <f t="shared" si="3"/>
        <v>1</v>
      </c>
      <c r="T61" s="1">
        <f t="shared" si="1"/>
        <v>67</v>
      </c>
      <c r="U61" s="4" t="str">
        <f t="shared" si="2"/>
        <v/>
      </c>
      <c r="V61" s="57" t="e">
        <f>IF($K$4=$V$3,M61,U61*(1+'Rhaniad y Ddeiliadaeth (De-ddn)'!C$109)+(U$44*(-(50-$B61)*('Rhaniad y Ddeiliadaeth (De-ddn)'!C$110/40))))</f>
        <v>#VALUE!</v>
      </c>
      <c r="W61" s="57" t="e">
        <f>V61*(1+'Rhaniad y Ddeiliadaeth (De-ddn)'!D$109)+(V$44*(-(50-$B61)*('Rhaniad y Ddeiliadaeth (De-ddn)'!D$110/40)))</f>
        <v>#VALUE!</v>
      </c>
      <c r="X61" s="57" t="e">
        <f>W61*(1+'Rhaniad y Ddeiliadaeth (De-ddn)'!E$109)+(W$44*(-(50-$B61)*('Rhaniad y Ddeiliadaeth (De-ddn)'!E$110/40)))</f>
        <v>#VALUE!</v>
      </c>
      <c r="Y61" s="57" t="e">
        <f>X61*(1+'Rhaniad y Ddeiliadaeth (De-ddn)'!F$109)+(X$44*(-(50-$B61)*('Rhaniad y Ddeiliadaeth (De-ddn)'!F$110/40)))</f>
        <v>#VALUE!</v>
      </c>
      <c r="Z61" s="57" t="e">
        <f>Y61*(1+'Rhaniad y Ddeiliadaeth (De-ddn)'!G$109)+(Y$44*(-(50-$B61)*('Rhaniad y Ddeiliadaeth (De-ddn)'!G$110/40)))</f>
        <v>#VALUE!</v>
      </c>
      <c r="AB61" s="1">
        <v>67</v>
      </c>
      <c r="AC61" s="4">
        <f>IF('Rhaniad y Ddeiliadaeth (Cymru)'!$D$8="Amcangyfrifon LlC",'Incwm (De-ddwyrain)'!D61,'Incwm (De-ddwyrain)'!V61)</f>
        <v>39226.175156447862</v>
      </c>
      <c r="AD61" s="4">
        <f>IF('Rhaniad y Ddeiliadaeth (Cymru)'!$D$8="Amcangyfrifon LlC",'Incwm (De-ddwyrain)'!E61,'Incwm (De-ddwyrain)'!W61)</f>
        <v>40350.367392248503</v>
      </c>
      <c r="AE61" s="4">
        <f>IF('Rhaniad y Ddeiliadaeth (Cymru)'!$D$8="Amcangyfrifon LlC",'Incwm (De-ddwyrain)'!F61,'Incwm (De-ddwyrain)'!X61)</f>
        <v>41792.594630713822</v>
      </c>
      <c r="AF61" s="4">
        <f>IF('Rhaniad y Ddeiliadaeth (Cymru)'!$D$8="Amcangyfrifon LlC",'Incwm (De-ddwyrain)'!G61,'Incwm (De-ddwyrain)'!Y61)</f>
        <v>43465.013189785743</v>
      </c>
      <c r="AG61" s="4">
        <f>IF('Rhaniad y Ddeiliadaeth (Cymru)'!$D$8="Amcangyfrifon LlC",'Incwm (De-ddwyrain)'!H61,'Incwm (De-ddwyrain)'!Z61)</f>
        <v>45246.435959721559</v>
      </c>
    </row>
    <row r="62" spans="2:33" x14ac:dyDescent="0.25">
      <c r="B62" s="20">
        <v>68</v>
      </c>
      <c r="C62" s="57">
        <v>38864</v>
      </c>
      <c r="D62" s="57">
        <f>C62*(1+'Rhaniad y Ddeiliadaeth (De-ddn)'!C$109)+(C$44*(-(50-$B62)*('Rhaniad y Ddeiliadaeth (De-ddn)'!C$110/40)))</f>
        <v>40357.16492229313</v>
      </c>
      <c r="E62" s="57">
        <f>D62*(1+'Rhaniad y Ddeiliadaeth (De-ddn)'!D$109)+(D$44*(-(50-$B62)*('Rhaniad y Ddeiliadaeth (De-ddn)'!D$110/40)))</f>
        <v>41517.238633424466</v>
      </c>
      <c r="F62" s="57">
        <f>E62*(1+'Rhaniad y Ddeiliadaeth (De-ddn)'!E$109)+(E$44*(-(50-$B62)*('Rhaniad y Ddeiliadaeth (De-ddn)'!E$110/40)))</f>
        <v>43004.720037446757</v>
      </c>
      <c r="G62" s="57">
        <f>F62*(1+'Rhaniad y Ddeiliadaeth (De-ddn)'!F$109)+(F$44*(-(50-$B62)*('Rhaniad y Ddeiliadaeth (De-ddn)'!F$110/40)))</f>
        <v>44729.297451017628</v>
      </c>
      <c r="H62" s="58">
        <f>G62*(1+'Rhaniad y Ddeiliadaeth (De-ddn)'!G$109)+(G$44*(-(50-$B62)*('Rhaniad y Ddeiliadaeth (De-ddn)'!G$110/40)))</f>
        <v>46566.315087132192</v>
      </c>
      <c r="L62" s="62" t="str">
        <f t="shared" si="0"/>
        <v/>
      </c>
      <c r="M62" s="227"/>
      <c r="N62" s="14">
        <f t="shared" si="3"/>
        <v>1</v>
      </c>
      <c r="T62" s="1">
        <f t="shared" si="1"/>
        <v>68</v>
      </c>
      <c r="U62" s="4" t="str">
        <f t="shared" si="2"/>
        <v/>
      </c>
      <c r="V62" s="57" t="e">
        <f>IF($K$4=$V$3,M62,U62*(1+'Rhaniad y Ddeiliadaeth (De-ddn)'!C$109)+(U$44*(-(50-$B62)*('Rhaniad y Ddeiliadaeth (De-ddn)'!C$110/40))))</f>
        <v>#VALUE!</v>
      </c>
      <c r="W62" s="57" t="e">
        <f>V62*(1+'Rhaniad y Ddeiliadaeth (De-ddn)'!D$109)+(V$44*(-(50-$B62)*('Rhaniad y Ddeiliadaeth (De-ddn)'!D$110/40)))</f>
        <v>#VALUE!</v>
      </c>
      <c r="X62" s="57" t="e">
        <f>W62*(1+'Rhaniad y Ddeiliadaeth (De-ddn)'!E$109)+(W$44*(-(50-$B62)*('Rhaniad y Ddeiliadaeth (De-ddn)'!E$110/40)))</f>
        <v>#VALUE!</v>
      </c>
      <c r="Y62" s="57" t="e">
        <f>X62*(1+'Rhaniad y Ddeiliadaeth (De-ddn)'!F$109)+(X$44*(-(50-$B62)*('Rhaniad y Ddeiliadaeth (De-ddn)'!F$110/40)))</f>
        <v>#VALUE!</v>
      </c>
      <c r="Z62" s="57" t="e">
        <f>Y62*(1+'Rhaniad y Ddeiliadaeth (De-ddn)'!G$109)+(Y$44*(-(50-$B62)*('Rhaniad y Ddeiliadaeth (De-ddn)'!G$110/40)))</f>
        <v>#VALUE!</v>
      </c>
      <c r="AB62" s="1">
        <v>68</v>
      </c>
      <c r="AC62" s="4">
        <f>IF('Rhaniad y Ddeiliadaeth (Cymru)'!$D$8="Amcangyfrifon LlC",'Incwm (De-ddwyrain)'!D62,'Incwm (De-ddwyrain)'!V62)</f>
        <v>40357.16492229313</v>
      </c>
      <c r="AD62" s="4">
        <f>IF('Rhaniad y Ddeiliadaeth (Cymru)'!$D$8="Amcangyfrifon LlC",'Incwm (De-ddwyrain)'!E62,'Incwm (De-ddwyrain)'!W62)</f>
        <v>41517.238633424466</v>
      </c>
      <c r="AE62" s="4">
        <f>IF('Rhaniad y Ddeiliadaeth (Cymru)'!$D$8="Amcangyfrifon LlC",'Incwm (De-ddwyrain)'!F62,'Incwm (De-ddwyrain)'!X62)</f>
        <v>43004.720037446757</v>
      </c>
      <c r="AF62" s="4">
        <f>IF('Rhaniad y Ddeiliadaeth (Cymru)'!$D$8="Amcangyfrifon LlC",'Incwm (De-ddwyrain)'!G62,'Incwm (De-ddwyrain)'!Y62)</f>
        <v>44729.297451017628</v>
      </c>
      <c r="AG62" s="4">
        <f>IF('Rhaniad y Ddeiliadaeth (Cymru)'!$D$8="Amcangyfrifon LlC",'Incwm (De-ddwyrain)'!H62,'Incwm (De-ddwyrain)'!Z62)</f>
        <v>46566.315087132192</v>
      </c>
    </row>
    <row r="63" spans="2:33" x14ac:dyDescent="0.25">
      <c r="B63" s="20">
        <v>69</v>
      </c>
      <c r="C63" s="57">
        <v>39496</v>
      </c>
      <c r="D63" s="57">
        <f>C63*(1+'Rhaniad y Ddeiliadaeth (De-ddn)'!C$109)+(C$44*(-(50-$B63)*('Rhaniad y Ddeiliadaeth (De-ddn)'!C$110/40)))</f>
        <v>41018.093365492219</v>
      </c>
      <c r="E63" s="57">
        <f>D63*(1+'Rhaniad y Ddeiliadaeth (De-ddn)'!D$109)+(D$44*(-(50-$B63)*('Rhaniad y Ddeiliadaeth (De-ddn)'!D$110/40)))</f>
        <v>42201.962713869187</v>
      </c>
      <c r="F63" s="57">
        <f>E63*(1+'Rhaniad y Ddeiliadaeth (De-ddn)'!E$109)+(E$44*(-(50-$B63)*('Rhaniad y Ddeiliadaeth (De-ddn)'!E$110/40)))</f>
        <v>43718.882404565949</v>
      </c>
      <c r="G63" s="57">
        <f>F63*(1+'Rhaniad y Ddeiliadaeth (De-ddn)'!F$109)+(F$44*(-(50-$B63)*('Rhaniad y Ddeiliadaeth (De-ddn)'!F$110/40)))</f>
        <v>45477.151288767702</v>
      </c>
      <c r="H63" s="58">
        <f>G63*(1+'Rhaniad y Ddeiliadaeth (De-ddn)'!G$109)+(G$44*(-(50-$B63)*('Rhaniad y Ddeiliadaeth (De-ddn)'!G$110/40)))</f>
        <v>47350.107301084659</v>
      </c>
      <c r="L63" s="62" t="str">
        <f t="shared" si="0"/>
        <v/>
      </c>
      <c r="M63" s="227"/>
      <c r="N63" s="14">
        <f t="shared" si="3"/>
        <v>1</v>
      </c>
      <c r="T63" s="1">
        <f t="shared" si="1"/>
        <v>69</v>
      </c>
      <c r="U63" s="4" t="str">
        <f t="shared" si="2"/>
        <v/>
      </c>
      <c r="V63" s="57" t="e">
        <f>IF($K$4=$V$3,M63,U63*(1+'Rhaniad y Ddeiliadaeth (De-ddn)'!C$109)+(U$44*(-(50-$B63)*('Rhaniad y Ddeiliadaeth (De-ddn)'!C$110/40))))</f>
        <v>#VALUE!</v>
      </c>
      <c r="W63" s="57" t="e">
        <f>V63*(1+'Rhaniad y Ddeiliadaeth (De-ddn)'!D$109)+(V$44*(-(50-$B63)*('Rhaniad y Ddeiliadaeth (De-ddn)'!D$110/40)))</f>
        <v>#VALUE!</v>
      </c>
      <c r="X63" s="57" t="e">
        <f>W63*(1+'Rhaniad y Ddeiliadaeth (De-ddn)'!E$109)+(W$44*(-(50-$B63)*('Rhaniad y Ddeiliadaeth (De-ddn)'!E$110/40)))</f>
        <v>#VALUE!</v>
      </c>
      <c r="Y63" s="57" t="e">
        <f>X63*(1+'Rhaniad y Ddeiliadaeth (De-ddn)'!F$109)+(X$44*(-(50-$B63)*('Rhaniad y Ddeiliadaeth (De-ddn)'!F$110/40)))</f>
        <v>#VALUE!</v>
      </c>
      <c r="Z63" s="57" t="e">
        <f>Y63*(1+'Rhaniad y Ddeiliadaeth (De-ddn)'!G$109)+(Y$44*(-(50-$B63)*('Rhaniad y Ddeiliadaeth (De-ddn)'!G$110/40)))</f>
        <v>#VALUE!</v>
      </c>
      <c r="AB63" s="1">
        <v>69</v>
      </c>
      <c r="AC63" s="4">
        <f>IF('Rhaniad y Ddeiliadaeth (Cymru)'!$D$8="Amcangyfrifon LlC",'Incwm (De-ddwyrain)'!D63,'Incwm (De-ddwyrain)'!V63)</f>
        <v>41018.093365492219</v>
      </c>
      <c r="AD63" s="4">
        <f>IF('Rhaniad y Ddeiliadaeth (Cymru)'!$D$8="Amcangyfrifon LlC",'Incwm (De-ddwyrain)'!E63,'Incwm (De-ddwyrain)'!W63)</f>
        <v>42201.962713869187</v>
      </c>
      <c r="AE63" s="4">
        <f>IF('Rhaniad y Ddeiliadaeth (Cymru)'!$D$8="Amcangyfrifon LlC",'Incwm (De-ddwyrain)'!F63,'Incwm (De-ddwyrain)'!X63)</f>
        <v>43718.882404565949</v>
      </c>
      <c r="AF63" s="4">
        <f>IF('Rhaniad y Ddeiliadaeth (Cymru)'!$D$8="Amcangyfrifon LlC",'Incwm (De-ddwyrain)'!G63,'Incwm (De-ddwyrain)'!Y63)</f>
        <v>45477.151288767702</v>
      </c>
      <c r="AG63" s="4">
        <f>IF('Rhaniad y Ddeiliadaeth (Cymru)'!$D$8="Amcangyfrifon LlC",'Incwm (De-ddwyrain)'!H63,'Incwm (De-ddwyrain)'!Z63)</f>
        <v>47350.107301084659</v>
      </c>
    </row>
    <row r="64" spans="2:33" x14ac:dyDescent="0.25">
      <c r="B64" s="20">
        <v>70</v>
      </c>
      <c r="C64" s="57">
        <v>40532.5</v>
      </c>
      <c r="D64" s="57">
        <f>C64*(1+'Rhaniad y Ddeiliadaeth (De-ddn)'!C$109)+(C$44*(-(50-$B64)*('Rhaniad y Ddeiliadaeth (De-ddn)'!C$110/40)))</f>
        <v>42097.831951885964</v>
      </c>
      <c r="E64" s="57">
        <f>D64*(1+'Rhaniad y Ddeiliadaeth (De-ddn)'!D$109)+(D$44*(-(50-$B64)*('Rhaniad y Ddeiliadaeth (De-ddn)'!D$110/40)))</f>
        <v>43316.265046551314</v>
      </c>
      <c r="F64" s="57">
        <f>E64*(1+'Rhaniad y Ddeiliadaeth (De-ddn)'!E$109)+(E$44*(-(50-$B64)*('Rhaniad y Ddeiliadaeth (De-ddn)'!E$110/40)))</f>
        <v>44876.714484292519</v>
      </c>
      <c r="G64" s="57">
        <f>F64*(1+'Rhaniad y Ddeiliadaeth (De-ddn)'!F$109)+(F$44*(-(50-$B64)*('Rhaniad y Ddeiliadaeth (De-ddn)'!F$110/40)))</f>
        <v>46685.128708672812</v>
      </c>
      <c r="H64" s="58">
        <f>G64*(1+'Rhaniad y Ddeiliadaeth (De-ddn)'!G$109)+(G$44*(-(50-$B64)*('Rhaniad y Ddeiliadaeth (De-ddn)'!G$110/40)))</f>
        <v>48611.536423613827</v>
      </c>
      <c r="L64" s="62" t="str">
        <f t="shared" si="0"/>
        <v/>
      </c>
      <c r="M64" s="227"/>
      <c r="N64" s="14">
        <f t="shared" si="3"/>
        <v>1</v>
      </c>
      <c r="T64" s="1">
        <f t="shared" si="1"/>
        <v>70</v>
      </c>
      <c r="U64" s="4" t="str">
        <f t="shared" si="2"/>
        <v/>
      </c>
      <c r="V64" s="57" t="e">
        <f>IF($K$4=$V$3,M64,U64*(1+'Rhaniad y Ddeiliadaeth (De-ddn)'!C$109)+(U$44*(-(50-$B64)*('Rhaniad y Ddeiliadaeth (De-ddn)'!C$110/40))))</f>
        <v>#VALUE!</v>
      </c>
      <c r="W64" s="57" t="e">
        <f>V64*(1+'Rhaniad y Ddeiliadaeth (De-ddn)'!D$109)+(V$44*(-(50-$B64)*('Rhaniad y Ddeiliadaeth (De-ddn)'!D$110/40)))</f>
        <v>#VALUE!</v>
      </c>
      <c r="X64" s="57" t="e">
        <f>W64*(1+'Rhaniad y Ddeiliadaeth (De-ddn)'!E$109)+(W$44*(-(50-$B64)*('Rhaniad y Ddeiliadaeth (De-ddn)'!E$110/40)))</f>
        <v>#VALUE!</v>
      </c>
      <c r="Y64" s="57" t="e">
        <f>X64*(1+'Rhaniad y Ddeiliadaeth (De-ddn)'!F$109)+(X$44*(-(50-$B64)*('Rhaniad y Ddeiliadaeth (De-ddn)'!F$110/40)))</f>
        <v>#VALUE!</v>
      </c>
      <c r="Z64" s="57" t="e">
        <f>Y64*(1+'Rhaniad y Ddeiliadaeth (De-ddn)'!G$109)+(Y$44*(-(50-$B64)*('Rhaniad y Ddeiliadaeth (De-ddn)'!G$110/40)))</f>
        <v>#VALUE!</v>
      </c>
      <c r="AB64" s="1">
        <v>70</v>
      </c>
      <c r="AC64" s="4">
        <f>IF('Rhaniad y Ddeiliadaeth (Cymru)'!$D$8="Amcangyfrifon LlC",'Incwm (De-ddwyrain)'!D64,'Incwm (De-ddwyrain)'!V64)</f>
        <v>42097.831951885964</v>
      </c>
      <c r="AD64" s="4">
        <f>IF('Rhaniad y Ddeiliadaeth (Cymru)'!$D$8="Amcangyfrifon LlC",'Incwm (De-ddwyrain)'!E64,'Incwm (De-ddwyrain)'!W64)</f>
        <v>43316.265046551314</v>
      </c>
      <c r="AE64" s="4">
        <f>IF('Rhaniad y Ddeiliadaeth (Cymru)'!$D$8="Amcangyfrifon LlC",'Incwm (De-ddwyrain)'!F64,'Incwm (De-ddwyrain)'!X64)</f>
        <v>44876.714484292519</v>
      </c>
      <c r="AF64" s="4">
        <f>IF('Rhaniad y Ddeiliadaeth (Cymru)'!$D$8="Amcangyfrifon LlC",'Incwm (De-ddwyrain)'!G64,'Incwm (De-ddwyrain)'!Y64)</f>
        <v>46685.128708672812</v>
      </c>
      <c r="AG64" s="4">
        <f>IF('Rhaniad y Ddeiliadaeth (Cymru)'!$D$8="Amcangyfrifon LlC",'Incwm (De-ddwyrain)'!H64,'Incwm (De-ddwyrain)'!Z64)</f>
        <v>48611.536423613827</v>
      </c>
    </row>
    <row r="65" spans="2:33" x14ac:dyDescent="0.25">
      <c r="B65" s="20">
        <v>71</v>
      </c>
      <c r="C65" s="57">
        <v>41787</v>
      </c>
      <c r="D65" s="57">
        <f>C65*(1+'Rhaniad y Ddeiliadaeth (De-ddn)'!C$109)+(C$44*(-(50-$B65)*('Rhaniad y Ddeiliadaeth (De-ddn)'!C$110/40)))</f>
        <v>43403.282803338901</v>
      </c>
      <c r="E65" s="57">
        <f>D65*(1+'Rhaniad y Ddeiliadaeth (De-ddn)'!D$109)+(D$44*(-(50-$B65)*('Rhaniad y Ddeiliadaeth (De-ddn)'!D$110/40)))</f>
        <v>44662.082976236561</v>
      </c>
      <c r="F65" s="57">
        <f>E65*(1+'Rhaniad y Ddeiliadaeth (De-ddn)'!E$109)+(E$44*(-(50-$B65)*('Rhaniad y Ddeiliadaeth (De-ddn)'!E$110/40)))</f>
        <v>46273.656569824831</v>
      </c>
      <c r="G65" s="57">
        <f>F65*(1+'Rhaniad y Ddeiliadaeth (De-ddn)'!F$109)+(F$44*(-(50-$B65)*('Rhaniad y Ddeiliadaeth (De-ddn)'!F$110/40)))</f>
        <v>48141.083732804895</v>
      </c>
      <c r="H65" s="58">
        <f>G65*(1+'Rhaniad y Ddeiliadaeth (De-ddn)'!G$109)+(G$44*(-(50-$B65)*('Rhaniad y Ddeiliadaeth (De-ddn)'!G$110/40)))</f>
        <v>50130.381729257293</v>
      </c>
      <c r="L65" s="62" t="str">
        <f t="shared" si="0"/>
        <v/>
      </c>
      <c r="M65" s="227"/>
      <c r="N65" s="14">
        <f t="shared" si="3"/>
        <v>1</v>
      </c>
      <c r="T65" s="1">
        <f t="shared" si="1"/>
        <v>71</v>
      </c>
      <c r="U65" s="4" t="str">
        <f t="shared" si="2"/>
        <v/>
      </c>
      <c r="V65" s="57" t="e">
        <f>IF($K$4=$V$3,M65,U65*(1+'Rhaniad y Ddeiliadaeth (De-ddn)'!C$109)+(U$44*(-(50-$B65)*('Rhaniad y Ddeiliadaeth (De-ddn)'!C$110/40))))</f>
        <v>#VALUE!</v>
      </c>
      <c r="W65" s="57" t="e">
        <f>V65*(1+'Rhaniad y Ddeiliadaeth (De-ddn)'!D$109)+(V$44*(-(50-$B65)*('Rhaniad y Ddeiliadaeth (De-ddn)'!D$110/40)))</f>
        <v>#VALUE!</v>
      </c>
      <c r="X65" s="57" t="e">
        <f>W65*(1+'Rhaniad y Ddeiliadaeth (De-ddn)'!E$109)+(W$44*(-(50-$B65)*('Rhaniad y Ddeiliadaeth (De-ddn)'!E$110/40)))</f>
        <v>#VALUE!</v>
      </c>
      <c r="Y65" s="57" t="e">
        <f>X65*(1+'Rhaniad y Ddeiliadaeth (De-ddn)'!F$109)+(X$44*(-(50-$B65)*('Rhaniad y Ddeiliadaeth (De-ddn)'!F$110/40)))</f>
        <v>#VALUE!</v>
      </c>
      <c r="Z65" s="57" t="e">
        <f>Y65*(1+'Rhaniad y Ddeiliadaeth (De-ddn)'!G$109)+(Y$44*(-(50-$B65)*('Rhaniad y Ddeiliadaeth (De-ddn)'!G$110/40)))</f>
        <v>#VALUE!</v>
      </c>
      <c r="AB65" s="1">
        <v>71</v>
      </c>
      <c r="AC65" s="4">
        <f>IF('Rhaniad y Ddeiliadaeth (Cymru)'!$D$8="Amcangyfrifon LlC",'Incwm (De-ddwyrain)'!D65,'Incwm (De-ddwyrain)'!V65)</f>
        <v>43403.282803338901</v>
      </c>
      <c r="AD65" s="4">
        <f>IF('Rhaniad y Ddeiliadaeth (Cymru)'!$D$8="Amcangyfrifon LlC",'Incwm (De-ddwyrain)'!E65,'Incwm (De-ddwyrain)'!W65)</f>
        <v>44662.082976236561</v>
      </c>
      <c r="AE65" s="4">
        <f>IF('Rhaniad y Ddeiliadaeth (Cymru)'!$D$8="Amcangyfrifon LlC",'Incwm (De-ddwyrain)'!F65,'Incwm (De-ddwyrain)'!X65)</f>
        <v>46273.656569824831</v>
      </c>
      <c r="AF65" s="4">
        <f>IF('Rhaniad y Ddeiliadaeth (Cymru)'!$D$8="Amcangyfrifon LlC",'Incwm (De-ddwyrain)'!G65,'Incwm (De-ddwyrain)'!Y65)</f>
        <v>48141.083732804895</v>
      </c>
      <c r="AG65" s="4">
        <f>IF('Rhaniad y Ddeiliadaeth (Cymru)'!$D$8="Amcangyfrifon LlC",'Incwm (De-ddwyrain)'!H65,'Incwm (De-ddwyrain)'!Z65)</f>
        <v>50130.381729257293</v>
      </c>
    </row>
    <row r="66" spans="2:33" x14ac:dyDescent="0.25">
      <c r="B66" s="20">
        <v>72</v>
      </c>
      <c r="C66" s="57">
        <v>42743.199999999997</v>
      </c>
      <c r="D66" s="57">
        <f>C66*(1+'Rhaniad y Ddeiliadaeth (De-ddn)'!C$109)+(C$44*(-(50-$B66)*('Rhaniad y Ddeiliadaeth (De-ddn)'!C$110/40)))</f>
        <v>44399.88058751131</v>
      </c>
      <c r="E66" s="57">
        <f>D66*(1+'Rhaniad y Ddeiliadaeth (De-ddn)'!D$109)+(D$44*(-(50-$B66)*('Rhaniad y Ddeiliadaeth (De-ddn)'!D$110/40)))</f>
        <v>45691.106857362043</v>
      </c>
      <c r="F66" s="57">
        <f>E66*(1+'Rhaniad y Ddeiliadaeth (De-ddn)'!E$109)+(E$44*(-(50-$B66)*('Rhaniad y Ddeiliadaeth (De-ddn)'!E$110/40)))</f>
        <v>47343.412807963352</v>
      </c>
      <c r="G66" s="57">
        <f>F66*(1+'Rhaniad y Ddeiliadaeth (De-ddn)'!F$109)+(F$44*(-(50-$B66)*('Rhaniad y Ddeiliadaeth (De-ddn)'!F$110/40)))</f>
        <v>49257.718943446605</v>
      </c>
      <c r="H66" s="58">
        <f>G66*(1+'Rhaniad y Ddeiliadaeth (De-ddn)'!G$109)+(G$44*(-(50-$B66)*('Rhaniad y Ddeiliadaeth (De-ddn)'!G$110/40)))</f>
        <v>51296.991954978788</v>
      </c>
      <c r="L66" s="62" t="str">
        <f t="shared" si="0"/>
        <v/>
      </c>
      <c r="M66" s="227"/>
      <c r="N66" s="14">
        <f t="shared" si="3"/>
        <v>1</v>
      </c>
      <c r="T66" s="1">
        <f t="shared" si="1"/>
        <v>72</v>
      </c>
      <c r="U66" s="4" t="str">
        <f t="shared" si="2"/>
        <v/>
      </c>
      <c r="V66" s="57" t="e">
        <f>IF($K$4=$V$3,M66,U66*(1+'Rhaniad y Ddeiliadaeth (De-ddn)'!C$109)+(U$44*(-(50-$B66)*('Rhaniad y Ddeiliadaeth (De-ddn)'!C$110/40))))</f>
        <v>#VALUE!</v>
      </c>
      <c r="W66" s="57" t="e">
        <f>V66*(1+'Rhaniad y Ddeiliadaeth (De-ddn)'!D$109)+(V$44*(-(50-$B66)*('Rhaniad y Ddeiliadaeth (De-ddn)'!D$110/40)))</f>
        <v>#VALUE!</v>
      </c>
      <c r="X66" s="57" t="e">
        <f>W66*(1+'Rhaniad y Ddeiliadaeth (De-ddn)'!E$109)+(W$44*(-(50-$B66)*('Rhaniad y Ddeiliadaeth (De-ddn)'!E$110/40)))</f>
        <v>#VALUE!</v>
      </c>
      <c r="Y66" s="57" t="e">
        <f>X66*(1+'Rhaniad y Ddeiliadaeth (De-ddn)'!F$109)+(X$44*(-(50-$B66)*('Rhaniad y Ddeiliadaeth (De-ddn)'!F$110/40)))</f>
        <v>#VALUE!</v>
      </c>
      <c r="Z66" s="57" t="e">
        <f>Y66*(1+'Rhaniad y Ddeiliadaeth (De-ddn)'!G$109)+(Y$44*(-(50-$B66)*('Rhaniad y Ddeiliadaeth (De-ddn)'!G$110/40)))</f>
        <v>#VALUE!</v>
      </c>
      <c r="AB66" s="1">
        <v>72</v>
      </c>
      <c r="AC66" s="4">
        <f>IF('Rhaniad y Ddeiliadaeth (Cymru)'!$D$8="Amcangyfrifon LlC",'Incwm (De-ddwyrain)'!D66,'Incwm (De-ddwyrain)'!V66)</f>
        <v>44399.88058751131</v>
      </c>
      <c r="AD66" s="4">
        <f>IF('Rhaniad y Ddeiliadaeth (Cymru)'!$D$8="Amcangyfrifon LlC",'Incwm (De-ddwyrain)'!E66,'Incwm (De-ddwyrain)'!W66)</f>
        <v>45691.106857362043</v>
      </c>
      <c r="AE66" s="4">
        <f>IF('Rhaniad y Ddeiliadaeth (Cymru)'!$D$8="Amcangyfrifon LlC",'Incwm (De-ddwyrain)'!F66,'Incwm (De-ddwyrain)'!X66)</f>
        <v>47343.412807963352</v>
      </c>
      <c r="AF66" s="4">
        <f>IF('Rhaniad y Ddeiliadaeth (Cymru)'!$D$8="Amcangyfrifon LlC",'Incwm (De-ddwyrain)'!G66,'Incwm (De-ddwyrain)'!Y66)</f>
        <v>49257.718943446605</v>
      </c>
      <c r="AG66" s="4">
        <f>IF('Rhaniad y Ddeiliadaeth (Cymru)'!$D$8="Amcangyfrifon LlC",'Incwm (De-ddwyrain)'!H66,'Incwm (De-ddwyrain)'!Z66)</f>
        <v>51296.991954978788</v>
      </c>
    </row>
    <row r="67" spans="2:33" x14ac:dyDescent="0.25">
      <c r="B67" s="20">
        <v>73</v>
      </c>
      <c r="C67" s="57">
        <v>43591.6</v>
      </c>
      <c r="D67" s="57">
        <f>C67*(1+'Rhaniad y Ddeiliadaeth (De-ddn)'!C$109)+(C$44*(-(50-$B67)*('Rhaniad y Ddeiliadaeth (De-ddn)'!C$110/40)))</f>
        <v>45284.864691989322</v>
      </c>
      <c r="E67" s="57">
        <f>D67*(1+'Rhaniad y Ddeiliadaeth (De-ddn)'!D$109)+(D$44*(-(50-$B67)*('Rhaniad y Ddeiliadaeth (De-ddn)'!D$110/40)))</f>
        <v>46605.647337767645</v>
      </c>
      <c r="F67" s="57">
        <f>E67*(1+'Rhaniad y Ddeiliadaeth (De-ddn)'!E$109)+(E$44*(-(50-$B67)*('Rhaniad y Ddeiliadaeth (De-ddn)'!E$110/40)))</f>
        <v>48294.930245065822</v>
      </c>
      <c r="G67" s="57">
        <f>F67*(1+'Rhaniad y Ddeiliadaeth (De-ddn)'!F$109)+(F$44*(-(50-$B67)*('Rhaniad y Ddeiliadaeth (De-ddn)'!F$110/40)))</f>
        <v>50251.730366310025</v>
      </c>
      <c r="H67" s="58">
        <f>G67*(1+'Rhaniad y Ddeiliadaeth (De-ddn)'!G$109)+(G$44*(-(50-$B67)*('Rhaniad y Ddeiliadaeth (De-ddn)'!G$110/40)))</f>
        <v>52336.311058958439</v>
      </c>
      <c r="L67" s="62" t="str">
        <f t="shared" si="0"/>
        <v/>
      </c>
      <c r="M67" s="227"/>
      <c r="N67" s="14">
        <f t="shared" si="3"/>
        <v>1</v>
      </c>
      <c r="T67" s="1">
        <f t="shared" si="1"/>
        <v>73</v>
      </c>
      <c r="U67" s="4" t="str">
        <f t="shared" si="2"/>
        <v/>
      </c>
      <c r="V67" s="57" t="e">
        <f>IF($K$4=$V$3,M67,U67*(1+'Rhaniad y Ddeiliadaeth (De-ddn)'!C$109)+(U$44*(-(50-$B67)*('Rhaniad y Ddeiliadaeth (De-ddn)'!C$110/40))))</f>
        <v>#VALUE!</v>
      </c>
      <c r="W67" s="57" t="e">
        <f>V67*(1+'Rhaniad y Ddeiliadaeth (De-ddn)'!D$109)+(V$44*(-(50-$B67)*('Rhaniad y Ddeiliadaeth (De-ddn)'!D$110/40)))</f>
        <v>#VALUE!</v>
      </c>
      <c r="X67" s="57" t="e">
        <f>W67*(1+'Rhaniad y Ddeiliadaeth (De-ddn)'!E$109)+(W$44*(-(50-$B67)*('Rhaniad y Ddeiliadaeth (De-ddn)'!E$110/40)))</f>
        <v>#VALUE!</v>
      </c>
      <c r="Y67" s="57" t="e">
        <f>X67*(1+'Rhaniad y Ddeiliadaeth (De-ddn)'!F$109)+(X$44*(-(50-$B67)*('Rhaniad y Ddeiliadaeth (De-ddn)'!F$110/40)))</f>
        <v>#VALUE!</v>
      </c>
      <c r="Z67" s="57" t="e">
        <f>Y67*(1+'Rhaniad y Ddeiliadaeth (De-ddn)'!G$109)+(Y$44*(-(50-$B67)*('Rhaniad y Ddeiliadaeth (De-ddn)'!G$110/40)))</f>
        <v>#VALUE!</v>
      </c>
      <c r="AB67" s="1">
        <v>73</v>
      </c>
      <c r="AC67" s="4">
        <f>IF('Rhaniad y Ddeiliadaeth (Cymru)'!$D$8="Amcangyfrifon LlC",'Incwm (De-ddwyrain)'!D67,'Incwm (De-ddwyrain)'!V67)</f>
        <v>45284.864691989322</v>
      </c>
      <c r="AD67" s="4">
        <f>IF('Rhaniad y Ddeiliadaeth (Cymru)'!$D$8="Amcangyfrifon LlC",'Incwm (De-ddwyrain)'!E67,'Incwm (De-ddwyrain)'!W67)</f>
        <v>46605.647337767645</v>
      </c>
      <c r="AE67" s="4">
        <f>IF('Rhaniad y Ddeiliadaeth (Cymru)'!$D$8="Amcangyfrifon LlC",'Incwm (De-ddwyrain)'!F67,'Incwm (De-ddwyrain)'!X67)</f>
        <v>48294.930245065822</v>
      </c>
      <c r="AF67" s="4">
        <f>IF('Rhaniad y Ddeiliadaeth (Cymru)'!$D$8="Amcangyfrifon LlC",'Incwm (De-ddwyrain)'!G67,'Incwm (De-ddwyrain)'!Y67)</f>
        <v>50251.730366310025</v>
      </c>
      <c r="AG67" s="4">
        <f>IF('Rhaniad y Ddeiliadaeth (Cymru)'!$D$8="Amcangyfrifon LlC",'Incwm (De-ddwyrain)'!H67,'Incwm (De-ddwyrain)'!Z67)</f>
        <v>52336.311058958439</v>
      </c>
    </row>
    <row r="68" spans="2:33" x14ac:dyDescent="0.25">
      <c r="B68" s="20">
        <v>74</v>
      </c>
      <c r="C68" s="57">
        <v>44696.5</v>
      </c>
      <c r="D68" s="57">
        <f>C68*(1+'Rhaniad y Ddeiliadaeth (De-ddn)'!C$109)+(C$44*(-(50-$B68)*('Rhaniad y Ddeiliadaeth (De-ddn)'!C$110/40)))</f>
        <v>46435.423089988806</v>
      </c>
      <c r="E68" s="57">
        <f>D68*(1+'Rhaniad y Ddeiliadaeth (De-ddn)'!D$109)+(D$44*(-(50-$B68)*('Rhaniad y Ddeiliadaeth (De-ddn)'!D$110/40)))</f>
        <v>47792.590344004893</v>
      </c>
      <c r="F68" s="57">
        <f>E68*(1+'Rhaniad y Ddeiliadaeth (De-ddn)'!E$109)+(E$44*(-(50-$B68)*('Rhaniad y Ddeiliadaeth (De-ddn)'!E$110/40)))</f>
        <v>49527.785831201189</v>
      </c>
      <c r="G68" s="57">
        <f>F68*(1+'Rhaniad y Ddeiliadaeth (De-ddn)'!F$109)+(F$44*(-(50-$B68)*('Rhaniad y Ddeiliadaeth (De-ddn)'!F$110/40)))</f>
        <v>51537.513603321233</v>
      </c>
      <c r="H68" s="58">
        <f>G68*(1+'Rhaniad y Ddeiliadaeth (De-ddn)'!G$109)+(G$44*(-(50-$B68)*('Rhaniad y Ddeiliadaeth (De-ddn)'!G$110/40)))</f>
        <v>53678.507460960187</v>
      </c>
      <c r="L68" s="62" t="str">
        <f t="shared" ref="L68:L84" si="4">IF(ISBLANK($K$4),"",B68)</f>
        <v/>
      </c>
      <c r="M68" s="227"/>
      <c r="N68" s="14">
        <f t="shared" si="3"/>
        <v>1</v>
      </c>
      <c r="T68" s="1">
        <f t="shared" ref="T68:T84" si="5">B68</f>
        <v>74</v>
      </c>
      <c r="U68" s="4" t="str">
        <f t="shared" ref="U68:U84" si="6">IF($M$3=$U$3,M68,"")</f>
        <v/>
      </c>
      <c r="V68" s="57" t="e">
        <f>IF($K$4=$V$3,M68,U68*(1+'Rhaniad y Ddeiliadaeth (De-ddn)'!C$109)+(U$44*(-(50-$B68)*('Rhaniad y Ddeiliadaeth (De-ddn)'!C$110/40))))</f>
        <v>#VALUE!</v>
      </c>
      <c r="W68" s="57" t="e">
        <f>V68*(1+'Rhaniad y Ddeiliadaeth (De-ddn)'!D$109)+(V$44*(-(50-$B68)*('Rhaniad y Ddeiliadaeth (De-ddn)'!D$110/40)))</f>
        <v>#VALUE!</v>
      </c>
      <c r="X68" s="57" t="e">
        <f>W68*(1+'Rhaniad y Ddeiliadaeth (De-ddn)'!E$109)+(W$44*(-(50-$B68)*('Rhaniad y Ddeiliadaeth (De-ddn)'!E$110/40)))</f>
        <v>#VALUE!</v>
      </c>
      <c r="Y68" s="57" t="e">
        <f>X68*(1+'Rhaniad y Ddeiliadaeth (De-ddn)'!F$109)+(X$44*(-(50-$B68)*('Rhaniad y Ddeiliadaeth (De-ddn)'!F$110/40)))</f>
        <v>#VALUE!</v>
      </c>
      <c r="Z68" s="57" t="e">
        <f>Y68*(1+'Rhaniad y Ddeiliadaeth (De-ddn)'!G$109)+(Y$44*(-(50-$B68)*('Rhaniad y Ddeiliadaeth (De-ddn)'!G$110/40)))</f>
        <v>#VALUE!</v>
      </c>
      <c r="AB68" s="1">
        <v>74</v>
      </c>
      <c r="AC68" s="4">
        <f>IF('Rhaniad y Ddeiliadaeth (Cymru)'!$D$8="Amcangyfrifon LlC",'Incwm (De-ddwyrain)'!D68,'Incwm (De-ddwyrain)'!V68)</f>
        <v>46435.423089988806</v>
      </c>
      <c r="AD68" s="4">
        <f>IF('Rhaniad y Ddeiliadaeth (Cymru)'!$D$8="Amcangyfrifon LlC",'Incwm (De-ddwyrain)'!E68,'Incwm (De-ddwyrain)'!W68)</f>
        <v>47792.590344004893</v>
      </c>
      <c r="AE68" s="4">
        <f>IF('Rhaniad y Ddeiliadaeth (Cymru)'!$D$8="Amcangyfrifon LlC",'Incwm (De-ddwyrain)'!F68,'Incwm (De-ddwyrain)'!X68)</f>
        <v>49527.785831201189</v>
      </c>
      <c r="AF68" s="4">
        <f>IF('Rhaniad y Ddeiliadaeth (Cymru)'!$D$8="Amcangyfrifon LlC",'Incwm (De-ddwyrain)'!G68,'Incwm (De-ddwyrain)'!Y68)</f>
        <v>51537.513603321233</v>
      </c>
      <c r="AG68" s="4">
        <f>IF('Rhaniad y Ddeiliadaeth (Cymru)'!$D$8="Amcangyfrifon LlC",'Incwm (De-ddwyrain)'!H68,'Incwm (De-ddwyrain)'!Z68)</f>
        <v>53678.507460960187</v>
      </c>
    </row>
    <row r="69" spans="2:33" x14ac:dyDescent="0.25">
      <c r="B69" s="20">
        <v>75</v>
      </c>
      <c r="C69" s="57">
        <v>45619</v>
      </c>
      <c r="D69" s="57">
        <f>C69*(1+'Rhaniad y Ddeiliadaeth (De-ddn)'!C$109)+(C$44*(-(50-$B69)*('Rhaniad y Ddeiliadaeth (De-ddn)'!C$110/40)))</f>
        <v>47397.128657039684</v>
      </c>
      <c r="E69" s="57">
        <f>D69*(1+'Rhaniad y Ddeiliadaeth (De-ddn)'!D$109)+(D$44*(-(50-$B69)*('Rhaniad y Ddeiliadaeth (De-ddn)'!D$110/40)))</f>
        <v>48785.82488742852</v>
      </c>
      <c r="F69" s="57">
        <f>E69*(1+'Rhaniad y Ddeiliadaeth (De-ddn)'!E$109)+(E$44*(-(50-$B69)*('Rhaniad y Ddeiliadaeth (De-ddn)'!E$110/40)))</f>
        <v>50560.57873357983</v>
      </c>
      <c r="G69" s="57">
        <f>F69*(1+'Rhaniad y Ddeiliadaeth (De-ddn)'!F$109)+(F$44*(-(50-$B69)*('Rhaniad y Ddeiliadaeth (De-ddn)'!F$110/40)))</f>
        <v>52615.814661382909</v>
      </c>
      <c r="H69" s="58">
        <f>G69*(1+'Rhaniad y Ddeiliadaeth (De-ddn)'!G$109)+(G$44*(-(50-$B69)*('Rhaniad y Ddeiliadaeth (De-ddn)'!G$110/40)))</f>
        <v>54805.324451035114</v>
      </c>
      <c r="L69" s="62" t="str">
        <f t="shared" si="4"/>
        <v/>
      </c>
      <c r="M69" s="227"/>
      <c r="N69" s="14">
        <f t="shared" ref="N69:N84" si="7">IF(ISBLANK(M69),1,0)</f>
        <v>1</v>
      </c>
      <c r="T69" s="1">
        <f t="shared" si="5"/>
        <v>75</v>
      </c>
      <c r="U69" s="4" t="str">
        <f t="shared" si="6"/>
        <v/>
      </c>
      <c r="V69" s="57" t="e">
        <f>IF($K$4=$V$3,M69,U69*(1+'Rhaniad y Ddeiliadaeth (De-ddn)'!C$109)+(U$44*(-(50-$B69)*('Rhaniad y Ddeiliadaeth (De-ddn)'!C$110/40))))</f>
        <v>#VALUE!</v>
      </c>
      <c r="W69" s="57" t="e">
        <f>V69*(1+'Rhaniad y Ddeiliadaeth (De-ddn)'!D$109)+(V$44*(-(50-$B69)*('Rhaniad y Ddeiliadaeth (De-ddn)'!D$110/40)))</f>
        <v>#VALUE!</v>
      </c>
      <c r="X69" s="57" t="e">
        <f>W69*(1+'Rhaniad y Ddeiliadaeth (De-ddn)'!E$109)+(W$44*(-(50-$B69)*('Rhaniad y Ddeiliadaeth (De-ddn)'!E$110/40)))</f>
        <v>#VALUE!</v>
      </c>
      <c r="Y69" s="57" t="e">
        <f>X69*(1+'Rhaniad y Ddeiliadaeth (De-ddn)'!F$109)+(X$44*(-(50-$B69)*('Rhaniad y Ddeiliadaeth (De-ddn)'!F$110/40)))</f>
        <v>#VALUE!</v>
      </c>
      <c r="Z69" s="57" t="e">
        <f>Y69*(1+'Rhaniad y Ddeiliadaeth (De-ddn)'!G$109)+(Y$44*(-(50-$B69)*('Rhaniad y Ddeiliadaeth (De-ddn)'!G$110/40)))</f>
        <v>#VALUE!</v>
      </c>
      <c r="AB69" s="1">
        <v>75</v>
      </c>
      <c r="AC69" s="4">
        <f>IF('Rhaniad y Ddeiliadaeth (Cymru)'!$D$8="Amcangyfrifon LlC",'Incwm (De-ddwyrain)'!D69,'Incwm (De-ddwyrain)'!V69)</f>
        <v>47397.128657039684</v>
      </c>
      <c r="AD69" s="4">
        <f>IF('Rhaniad y Ddeiliadaeth (Cymru)'!$D$8="Amcangyfrifon LlC",'Incwm (De-ddwyrain)'!E69,'Incwm (De-ddwyrain)'!W69)</f>
        <v>48785.82488742852</v>
      </c>
      <c r="AE69" s="4">
        <f>IF('Rhaniad y Ddeiliadaeth (Cymru)'!$D$8="Amcangyfrifon LlC",'Incwm (De-ddwyrain)'!F69,'Incwm (De-ddwyrain)'!X69)</f>
        <v>50560.57873357983</v>
      </c>
      <c r="AF69" s="4">
        <f>IF('Rhaniad y Ddeiliadaeth (Cymru)'!$D$8="Amcangyfrifon LlC",'Incwm (De-ddwyrain)'!G69,'Incwm (De-ddwyrain)'!Y69)</f>
        <v>52615.814661382909</v>
      </c>
      <c r="AG69" s="4">
        <f>IF('Rhaniad y Ddeiliadaeth (Cymru)'!$D$8="Amcangyfrifon LlC",'Incwm (De-ddwyrain)'!H69,'Incwm (De-ddwyrain)'!Z69)</f>
        <v>54805.324451035114</v>
      </c>
    </row>
    <row r="70" spans="2:33" x14ac:dyDescent="0.25">
      <c r="B70" s="20">
        <v>76</v>
      </c>
      <c r="C70" s="57">
        <v>46700.4</v>
      </c>
      <c r="D70" s="57">
        <f>C70*(1+'Rhaniad y Ddeiliadaeth (De-ddn)'!C$109)+(C$44*(-(50-$B70)*('Rhaniad y Ddeiliadaeth (De-ddn)'!C$110/40)))</f>
        <v>48523.35568701673</v>
      </c>
      <c r="E70" s="57">
        <f>D70*(1+'Rhaniad y Ddeiliadaeth (De-ddn)'!D$109)+(D$44*(-(50-$B70)*('Rhaniad y Ddeiliadaeth (De-ddn)'!D$110/40)))</f>
        <v>49947.810937108086</v>
      </c>
      <c r="F70" s="57">
        <f>E70*(1+'Rhaniad y Ddeiliadaeth (De-ddn)'!E$109)+(E$44*(-(50-$B70)*('Rhaniad y Ddeiliadaeth (De-ddn)'!E$110/40)))</f>
        <v>51767.658699823281</v>
      </c>
      <c r="G70" s="57">
        <f>F70*(1+'Rhaniad y Ddeiliadaeth (De-ddn)'!F$109)+(F$44*(-(50-$B70)*('Rhaniad y Ddeiliadaeth (De-ddn)'!F$110/40)))</f>
        <v>53874.866367663213</v>
      </c>
      <c r="H70" s="58">
        <f>G70*(1+'Rhaniad y Ddeiliadaeth (De-ddn)'!G$109)+(G$44*(-(50-$B70)*('Rhaniad y Ddeiliadaeth (De-ddn)'!G$110/40)))</f>
        <v>56119.771860820409</v>
      </c>
      <c r="L70" s="62" t="str">
        <f t="shared" si="4"/>
        <v/>
      </c>
      <c r="M70" s="227"/>
      <c r="N70" s="14">
        <f t="shared" si="7"/>
        <v>1</v>
      </c>
      <c r="T70" s="1">
        <f t="shared" si="5"/>
        <v>76</v>
      </c>
      <c r="U70" s="4" t="str">
        <f t="shared" si="6"/>
        <v/>
      </c>
      <c r="V70" s="57" t="e">
        <f>IF($K$4=$V$3,M70,U70*(1+'Rhaniad y Ddeiliadaeth (De-ddn)'!C$109)+(U$44*(-(50-$B70)*('Rhaniad y Ddeiliadaeth (De-ddn)'!C$110/40))))</f>
        <v>#VALUE!</v>
      </c>
      <c r="W70" s="57" t="e">
        <f>V70*(1+'Rhaniad y Ddeiliadaeth (De-ddn)'!D$109)+(V$44*(-(50-$B70)*('Rhaniad y Ddeiliadaeth (De-ddn)'!D$110/40)))</f>
        <v>#VALUE!</v>
      </c>
      <c r="X70" s="57" t="e">
        <f>W70*(1+'Rhaniad y Ddeiliadaeth (De-ddn)'!E$109)+(W$44*(-(50-$B70)*('Rhaniad y Ddeiliadaeth (De-ddn)'!E$110/40)))</f>
        <v>#VALUE!</v>
      </c>
      <c r="Y70" s="57" t="e">
        <f>X70*(1+'Rhaniad y Ddeiliadaeth (De-ddn)'!F$109)+(X$44*(-(50-$B70)*('Rhaniad y Ddeiliadaeth (De-ddn)'!F$110/40)))</f>
        <v>#VALUE!</v>
      </c>
      <c r="Z70" s="57" t="e">
        <f>Y70*(1+'Rhaniad y Ddeiliadaeth (De-ddn)'!G$109)+(Y$44*(-(50-$B70)*('Rhaniad y Ddeiliadaeth (De-ddn)'!G$110/40)))</f>
        <v>#VALUE!</v>
      </c>
      <c r="AB70" s="1">
        <v>76</v>
      </c>
      <c r="AC70" s="4">
        <f>IF('Rhaniad y Ddeiliadaeth (Cymru)'!$D$8="Amcangyfrifon LlC",'Incwm (De-ddwyrain)'!D70,'Incwm (De-ddwyrain)'!V70)</f>
        <v>48523.35568701673</v>
      </c>
      <c r="AD70" s="4">
        <f>IF('Rhaniad y Ddeiliadaeth (Cymru)'!$D$8="Amcangyfrifon LlC",'Incwm (De-ddwyrain)'!E70,'Incwm (De-ddwyrain)'!W70)</f>
        <v>49947.810937108086</v>
      </c>
      <c r="AE70" s="4">
        <f>IF('Rhaniad y Ddeiliadaeth (Cymru)'!$D$8="Amcangyfrifon LlC",'Incwm (De-ddwyrain)'!F70,'Incwm (De-ddwyrain)'!X70)</f>
        <v>51767.658699823281</v>
      </c>
      <c r="AF70" s="4">
        <f>IF('Rhaniad y Ddeiliadaeth (Cymru)'!$D$8="Amcangyfrifon LlC",'Incwm (De-ddwyrain)'!G70,'Incwm (De-ddwyrain)'!Y70)</f>
        <v>53874.866367663213</v>
      </c>
      <c r="AG70" s="4">
        <f>IF('Rhaniad y Ddeiliadaeth (Cymru)'!$D$8="Amcangyfrifon LlC",'Incwm (De-ddwyrain)'!H70,'Incwm (De-ddwyrain)'!Z70)</f>
        <v>56119.771860820409</v>
      </c>
    </row>
    <row r="71" spans="2:33" x14ac:dyDescent="0.25">
      <c r="B71" s="20">
        <v>77</v>
      </c>
      <c r="C71" s="57">
        <v>48015.199999999997</v>
      </c>
      <c r="D71" s="57">
        <f>C71*(1+'Rhaniad y Ddeiliadaeth (De-ddn)'!C$109)+(C$44*(-(50-$B71)*('Rhaniad y Ddeiliadaeth (De-ddn)'!C$110/40)))</f>
        <v>49891.23979343786</v>
      </c>
      <c r="E71" s="57">
        <f>D71*(1+'Rhaniad y Ddeiliadaeth (De-ddn)'!D$109)+(D$44*(-(50-$B71)*('Rhaniad y Ddeiliadaeth (De-ddn)'!D$110/40)))</f>
        <v>51357.66735532217</v>
      </c>
      <c r="F71" s="57">
        <f>E71*(1+'Rhaniad y Ddeiliadaeth (De-ddn)'!E$109)+(E$44*(-(50-$B71)*('Rhaniad y Ddeiliadaeth (De-ddn)'!E$110/40)))</f>
        <v>53230.739929163319</v>
      </c>
      <c r="G71" s="57">
        <f>F71*(1+'Rhaniad y Ddeiliadaeth (De-ddn)'!F$109)+(F$44*(-(50-$B71)*('Rhaniad y Ddeiliadaeth (De-ddn)'!F$110/40)))</f>
        <v>55399.413362138803</v>
      </c>
      <c r="H71" s="58">
        <f>G71*(1+'Rhaniad y Ddeiliadaeth (De-ddn)'!G$109)+(G$44*(-(50-$B71)*('Rhaniad y Ddeiliadaeth (De-ddn)'!G$110/40)))</f>
        <v>57709.819899683091</v>
      </c>
      <c r="L71" s="62" t="str">
        <f t="shared" si="4"/>
        <v/>
      </c>
      <c r="M71" s="227"/>
      <c r="N71" s="14">
        <f t="shared" si="7"/>
        <v>1</v>
      </c>
      <c r="T71" s="1">
        <f t="shared" si="5"/>
        <v>77</v>
      </c>
      <c r="U71" s="4" t="str">
        <f t="shared" si="6"/>
        <v/>
      </c>
      <c r="V71" s="57" t="e">
        <f>IF($K$4=$V$3,M71,U71*(1+'Rhaniad y Ddeiliadaeth (De-ddn)'!C$109)+(U$44*(-(50-$B71)*('Rhaniad y Ddeiliadaeth (De-ddn)'!C$110/40))))</f>
        <v>#VALUE!</v>
      </c>
      <c r="W71" s="57" t="e">
        <f>V71*(1+'Rhaniad y Ddeiliadaeth (De-ddn)'!D$109)+(V$44*(-(50-$B71)*('Rhaniad y Ddeiliadaeth (De-ddn)'!D$110/40)))</f>
        <v>#VALUE!</v>
      </c>
      <c r="X71" s="57" t="e">
        <f>W71*(1+'Rhaniad y Ddeiliadaeth (De-ddn)'!E$109)+(W$44*(-(50-$B71)*('Rhaniad y Ddeiliadaeth (De-ddn)'!E$110/40)))</f>
        <v>#VALUE!</v>
      </c>
      <c r="Y71" s="57" t="e">
        <f>X71*(1+'Rhaniad y Ddeiliadaeth (De-ddn)'!F$109)+(X$44*(-(50-$B71)*('Rhaniad y Ddeiliadaeth (De-ddn)'!F$110/40)))</f>
        <v>#VALUE!</v>
      </c>
      <c r="Z71" s="57" t="e">
        <f>Y71*(1+'Rhaniad y Ddeiliadaeth (De-ddn)'!G$109)+(Y$44*(-(50-$B71)*('Rhaniad y Ddeiliadaeth (De-ddn)'!G$110/40)))</f>
        <v>#VALUE!</v>
      </c>
      <c r="AB71" s="1">
        <v>77</v>
      </c>
      <c r="AC71" s="4">
        <f>IF('Rhaniad y Ddeiliadaeth (Cymru)'!$D$8="Amcangyfrifon LlC",'Incwm (De-ddwyrain)'!D71,'Incwm (De-ddwyrain)'!V71)</f>
        <v>49891.23979343786</v>
      </c>
      <c r="AD71" s="4">
        <f>IF('Rhaniad y Ddeiliadaeth (Cymru)'!$D$8="Amcangyfrifon LlC",'Incwm (De-ddwyrain)'!E71,'Incwm (De-ddwyrain)'!W71)</f>
        <v>51357.66735532217</v>
      </c>
      <c r="AE71" s="4">
        <f>IF('Rhaniad y Ddeiliadaeth (Cymru)'!$D$8="Amcangyfrifon LlC",'Incwm (De-ddwyrain)'!F71,'Incwm (De-ddwyrain)'!X71)</f>
        <v>53230.739929163319</v>
      </c>
      <c r="AF71" s="4">
        <f>IF('Rhaniad y Ddeiliadaeth (Cymru)'!$D$8="Amcangyfrifon LlC",'Incwm (De-ddwyrain)'!G71,'Incwm (De-ddwyrain)'!Y71)</f>
        <v>55399.413362138803</v>
      </c>
      <c r="AG71" s="4">
        <f>IF('Rhaniad y Ddeiliadaeth (Cymru)'!$D$8="Amcangyfrifon LlC",'Incwm (De-ddwyrain)'!H71,'Incwm (De-ddwyrain)'!Z71)</f>
        <v>57709.819899683091</v>
      </c>
    </row>
    <row r="72" spans="2:33" x14ac:dyDescent="0.25">
      <c r="B72" s="20">
        <v>78</v>
      </c>
      <c r="C72" s="57">
        <v>49166</v>
      </c>
      <c r="D72" s="57">
        <f>C72*(1+'Rhaniad y Ddeiliadaeth (De-ddn)'!C$109)+(C$44*(-(50-$B72)*('Rhaniad y Ddeiliadaeth (De-ddn)'!C$110/40)))</f>
        <v>51089.322012383287</v>
      </c>
      <c r="E72" s="57">
        <f>D72*(1+'Rhaniad y Ddeiliadaeth (De-ddn)'!D$109)+(D$44*(-(50-$B72)*('Rhaniad y Ddeiliadaeth (De-ddn)'!D$110/40)))</f>
        <v>52593.356076708231</v>
      </c>
      <c r="F72" s="57">
        <f>E72*(1+'Rhaniad y Ddeiliadaeth (De-ddn)'!E$109)+(E$44*(-(50-$B72)*('Rhaniad y Ddeiliadaeth (De-ddn)'!E$110/40)))</f>
        <v>54513.940236704562</v>
      </c>
      <c r="G72" s="57">
        <f>F72*(1+'Rhaniad y Ddeiliadaeth (De-ddn)'!F$109)+(F$44*(-(50-$B72)*('Rhaniad y Ddeiliadaeth (De-ddn)'!F$110/40)))</f>
        <v>56737.40839747119</v>
      </c>
      <c r="H72" s="58">
        <f>G72*(1+'Rhaniad y Ddeiliadaeth (De-ddn)'!G$109)+(G$44*(-(50-$B72)*('Rhaniad y Ddeiliadaeth (De-ddn)'!G$110/40)))</f>
        <v>59106.215397120373</v>
      </c>
      <c r="L72" s="62" t="str">
        <f t="shared" si="4"/>
        <v/>
      </c>
      <c r="M72" s="227"/>
      <c r="N72" s="14">
        <f t="shared" si="7"/>
        <v>1</v>
      </c>
      <c r="T72" s="1">
        <f t="shared" si="5"/>
        <v>78</v>
      </c>
      <c r="U72" s="4" t="str">
        <f t="shared" si="6"/>
        <v/>
      </c>
      <c r="V72" s="57" t="e">
        <f>IF($K$4=$V$3,M72,U72*(1+'Rhaniad y Ddeiliadaeth (De-ddn)'!C$109)+(U$44*(-(50-$B72)*('Rhaniad y Ddeiliadaeth (De-ddn)'!C$110/40))))</f>
        <v>#VALUE!</v>
      </c>
      <c r="W72" s="57" t="e">
        <f>V72*(1+'Rhaniad y Ddeiliadaeth (De-ddn)'!D$109)+(V$44*(-(50-$B72)*('Rhaniad y Ddeiliadaeth (De-ddn)'!D$110/40)))</f>
        <v>#VALUE!</v>
      </c>
      <c r="X72" s="57" t="e">
        <f>W72*(1+'Rhaniad y Ddeiliadaeth (De-ddn)'!E$109)+(W$44*(-(50-$B72)*('Rhaniad y Ddeiliadaeth (De-ddn)'!E$110/40)))</f>
        <v>#VALUE!</v>
      </c>
      <c r="Y72" s="57" t="e">
        <f>X72*(1+'Rhaniad y Ddeiliadaeth (De-ddn)'!F$109)+(X$44*(-(50-$B72)*('Rhaniad y Ddeiliadaeth (De-ddn)'!F$110/40)))</f>
        <v>#VALUE!</v>
      </c>
      <c r="Z72" s="57" t="e">
        <f>Y72*(1+'Rhaniad y Ddeiliadaeth (De-ddn)'!G$109)+(Y$44*(-(50-$B72)*('Rhaniad y Ddeiliadaeth (De-ddn)'!G$110/40)))</f>
        <v>#VALUE!</v>
      </c>
      <c r="AB72" s="1">
        <v>78</v>
      </c>
      <c r="AC72" s="4">
        <f>IF('Rhaniad y Ddeiliadaeth (Cymru)'!$D$8="Amcangyfrifon LlC",'Incwm (De-ddwyrain)'!D72,'Incwm (De-ddwyrain)'!V72)</f>
        <v>51089.322012383287</v>
      </c>
      <c r="AD72" s="4">
        <f>IF('Rhaniad y Ddeiliadaeth (Cymru)'!$D$8="Amcangyfrifon LlC",'Incwm (De-ddwyrain)'!E72,'Incwm (De-ddwyrain)'!W72)</f>
        <v>52593.356076708231</v>
      </c>
      <c r="AE72" s="4">
        <f>IF('Rhaniad y Ddeiliadaeth (Cymru)'!$D$8="Amcangyfrifon LlC",'Incwm (De-ddwyrain)'!F72,'Incwm (De-ddwyrain)'!X72)</f>
        <v>54513.940236704562</v>
      </c>
      <c r="AF72" s="4">
        <f>IF('Rhaniad y Ddeiliadaeth (Cymru)'!$D$8="Amcangyfrifon LlC",'Incwm (De-ddwyrain)'!G72,'Incwm (De-ddwyrain)'!Y72)</f>
        <v>56737.40839747119</v>
      </c>
      <c r="AG72" s="4">
        <f>IF('Rhaniad y Ddeiliadaeth (Cymru)'!$D$8="Amcangyfrifon LlC",'Incwm (De-ddwyrain)'!H72,'Incwm (De-ddwyrain)'!Z72)</f>
        <v>59106.215397120373</v>
      </c>
    </row>
    <row r="73" spans="2:33" x14ac:dyDescent="0.25">
      <c r="B73" s="20">
        <v>79</v>
      </c>
      <c r="C73" s="57">
        <v>50132.5</v>
      </c>
      <c r="D73" s="57">
        <f>C73*(1+'Rhaniad y Ddeiliadaeth (De-ddn)'!C$109)+(C$44*(-(50-$B73)*('Rhaniad y Ddeiliadaeth (De-ddn)'!C$110/40)))</f>
        <v>52096.584183391067</v>
      </c>
      <c r="E73" s="57">
        <f>D73*(1+'Rhaniad y Ddeiliadaeth (De-ddn)'!D$109)+(D$44*(-(50-$B73)*('Rhaniad y Ddeiliadaeth (De-ddn)'!D$110/40)))</f>
        <v>53633.318538793043</v>
      </c>
      <c r="F73" s="57">
        <f>E73*(1+'Rhaniad y Ddeiliadaeth (De-ddn)'!E$109)+(E$44*(-(50-$B73)*('Rhaniad y Ddeiliadaeth (De-ddn)'!E$110/40)))</f>
        <v>55594.993874199958</v>
      </c>
      <c r="G73" s="57">
        <f>F73*(1+'Rhaniad y Ddeiliadaeth (De-ddn)'!F$109)+(F$44*(-(50-$B73)*('Rhaniad y Ddeiliadaeth (De-ddn)'!F$110/40)))</f>
        <v>57865.759981156654</v>
      </c>
      <c r="H73" s="58">
        <f>G73*(1+'Rhaniad y Ddeiliadaeth (De-ddn)'!G$109)+(G$44*(-(50-$B73)*('Rhaniad y Ddeiliadaeth (De-ddn)'!G$110/40)))</f>
        <v>60284.987947089925</v>
      </c>
      <c r="L73" s="62" t="str">
        <f t="shared" si="4"/>
        <v/>
      </c>
      <c r="M73" s="227"/>
      <c r="N73" s="14">
        <f t="shared" si="7"/>
        <v>1</v>
      </c>
      <c r="T73" s="1">
        <f t="shared" si="5"/>
        <v>79</v>
      </c>
      <c r="U73" s="4" t="str">
        <f t="shared" si="6"/>
        <v/>
      </c>
      <c r="V73" s="57" t="e">
        <f>IF($K$4=$V$3,M73,U73*(1+'Rhaniad y Ddeiliadaeth (De-ddn)'!C$109)+(U$44*(-(50-$B73)*('Rhaniad y Ddeiliadaeth (De-ddn)'!C$110/40))))</f>
        <v>#VALUE!</v>
      </c>
      <c r="W73" s="57" t="e">
        <f>V73*(1+'Rhaniad y Ddeiliadaeth (De-ddn)'!D$109)+(V$44*(-(50-$B73)*('Rhaniad y Ddeiliadaeth (De-ddn)'!D$110/40)))</f>
        <v>#VALUE!</v>
      </c>
      <c r="X73" s="57" t="e">
        <f>W73*(1+'Rhaniad y Ddeiliadaeth (De-ddn)'!E$109)+(W$44*(-(50-$B73)*('Rhaniad y Ddeiliadaeth (De-ddn)'!E$110/40)))</f>
        <v>#VALUE!</v>
      </c>
      <c r="Y73" s="57" t="e">
        <f>X73*(1+'Rhaniad y Ddeiliadaeth (De-ddn)'!F$109)+(X$44*(-(50-$B73)*('Rhaniad y Ddeiliadaeth (De-ddn)'!F$110/40)))</f>
        <v>#VALUE!</v>
      </c>
      <c r="Z73" s="57" t="e">
        <f>Y73*(1+'Rhaniad y Ddeiliadaeth (De-ddn)'!G$109)+(Y$44*(-(50-$B73)*('Rhaniad y Ddeiliadaeth (De-ddn)'!G$110/40)))</f>
        <v>#VALUE!</v>
      </c>
      <c r="AB73" s="1">
        <v>79</v>
      </c>
      <c r="AC73" s="4">
        <f>IF('Rhaniad y Ddeiliadaeth (Cymru)'!$D$8="Amcangyfrifon LlC",'Incwm (De-ddwyrain)'!D73,'Incwm (De-ddwyrain)'!V73)</f>
        <v>52096.584183391067</v>
      </c>
      <c r="AD73" s="4">
        <f>IF('Rhaniad y Ddeiliadaeth (Cymru)'!$D$8="Amcangyfrifon LlC",'Incwm (De-ddwyrain)'!E73,'Incwm (De-ddwyrain)'!W73)</f>
        <v>53633.318538793043</v>
      </c>
      <c r="AE73" s="4">
        <f>IF('Rhaniad y Ddeiliadaeth (Cymru)'!$D$8="Amcangyfrifon LlC",'Incwm (De-ddwyrain)'!F73,'Incwm (De-ddwyrain)'!X73)</f>
        <v>55594.993874199958</v>
      </c>
      <c r="AF73" s="4">
        <f>IF('Rhaniad y Ddeiliadaeth (Cymru)'!$D$8="Amcangyfrifon LlC",'Incwm (De-ddwyrain)'!G73,'Incwm (De-ddwyrain)'!Y73)</f>
        <v>57865.759981156654</v>
      </c>
      <c r="AG73" s="4">
        <f>IF('Rhaniad y Ddeiliadaeth (Cymru)'!$D$8="Amcangyfrifon LlC",'Incwm (De-ddwyrain)'!H73,'Incwm (De-ddwyrain)'!Z73)</f>
        <v>60284.987947089925</v>
      </c>
    </row>
    <row r="74" spans="2:33" x14ac:dyDescent="0.25">
      <c r="B74" s="20">
        <v>80</v>
      </c>
      <c r="C74" s="57">
        <v>51214</v>
      </c>
      <c r="D74" s="57">
        <f>C74*(1+'Rhaniad y Ddeiliadaeth (De-ddn)'!C$109)+(C$44*(-(50-$B74)*('Rhaniad y Ddeiliadaeth (De-ddn)'!C$110/40)))</f>
        <v>53222.91475110437</v>
      </c>
      <c r="E74" s="57">
        <f>D74*(1+'Rhaniad y Ddeiliadaeth (De-ddn)'!D$109)+(D$44*(-(50-$B74)*('Rhaniad y Ddeiliadaeth (De-ddn)'!D$110/40)))</f>
        <v>54795.410788287729</v>
      </c>
      <c r="F74" s="57">
        <f>E74*(1+'Rhaniad y Ddeiliadaeth (De-ddn)'!E$109)+(E$44*(-(50-$B74)*('Rhaniad y Ddeiliadaeth (De-ddn)'!E$110/40)))</f>
        <v>56802.18352393229</v>
      </c>
      <c r="G74" s="57">
        <f>F74*(1+'Rhaniad y Ddeiliadaeth (De-ddn)'!F$109)+(F$44*(-(50-$B74)*('Rhaniad y Ddeiliadaeth (De-ddn)'!F$110/40)))</f>
        <v>59124.925438631544</v>
      </c>
      <c r="H74" s="58">
        <f>G74*(1+'Rhaniad y Ddeiliadaeth (De-ddn)'!G$109)+(G$44*(-(50-$B74)*('Rhaniad y Ddeiliadaeth (De-ddn)'!G$110/40)))</f>
        <v>61599.553437693139</v>
      </c>
      <c r="L74" s="62" t="str">
        <f t="shared" si="4"/>
        <v/>
      </c>
      <c r="M74" s="227"/>
      <c r="N74" s="14">
        <f t="shared" si="7"/>
        <v>1</v>
      </c>
      <c r="T74" s="1">
        <f t="shared" si="5"/>
        <v>80</v>
      </c>
      <c r="U74" s="4" t="str">
        <f t="shared" si="6"/>
        <v/>
      </c>
      <c r="V74" s="57" t="e">
        <f>IF($K$4=$V$3,M74,U74*(1+'Rhaniad y Ddeiliadaeth (De-ddn)'!C$109)+(U$44*(-(50-$B74)*('Rhaniad y Ddeiliadaeth (De-ddn)'!C$110/40))))</f>
        <v>#VALUE!</v>
      </c>
      <c r="W74" s="57" t="e">
        <f>V74*(1+'Rhaniad y Ddeiliadaeth (De-ddn)'!D$109)+(V$44*(-(50-$B74)*('Rhaniad y Ddeiliadaeth (De-ddn)'!D$110/40)))</f>
        <v>#VALUE!</v>
      </c>
      <c r="X74" s="57" t="e">
        <f>W74*(1+'Rhaniad y Ddeiliadaeth (De-ddn)'!E$109)+(W$44*(-(50-$B74)*('Rhaniad y Ddeiliadaeth (De-ddn)'!E$110/40)))</f>
        <v>#VALUE!</v>
      </c>
      <c r="Y74" s="57" t="e">
        <f>X74*(1+'Rhaniad y Ddeiliadaeth (De-ddn)'!F$109)+(X$44*(-(50-$B74)*('Rhaniad y Ddeiliadaeth (De-ddn)'!F$110/40)))</f>
        <v>#VALUE!</v>
      </c>
      <c r="Z74" s="57" t="e">
        <f>Y74*(1+'Rhaniad y Ddeiliadaeth (De-ddn)'!G$109)+(Y$44*(-(50-$B74)*('Rhaniad y Ddeiliadaeth (De-ddn)'!G$110/40)))</f>
        <v>#VALUE!</v>
      </c>
      <c r="AB74" s="1">
        <v>80</v>
      </c>
      <c r="AC74" s="4">
        <f>IF('Rhaniad y Ddeiliadaeth (Cymru)'!$D$8="Amcangyfrifon LlC",'Incwm (De-ddwyrain)'!D74,'Incwm (De-ddwyrain)'!V74)</f>
        <v>53222.91475110437</v>
      </c>
      <c r="AD74" s="4">
        <f>IF('Rhaniad y Ddeiliadaeth (Cymru)'!$D$8="Amcangyfrifon LlC",'Incwm (De-ddwyrain)'!E74,'Incwm (De-ddwyrain)'!W74)</f>
        <v>54795.410788287729</v>
      </c>
      <c r="AE74" s="4">
        <f>IF('Rhaniad y Ddeiliadaeth (Cymru)'!$D$8="Amcangyfrifon LlC",'Incwm (De-ddwyrain)'!F74,'Incwm (De-ddwyrain)'!X74)</f>
        <v>56802.18352393229</v>
      </c>
      <c r="AF74" s="4">
        <f>IF('Rhaniad y Ddeiliadaeth (Cymru)'!$D$8="Amcangyfrifon LlC",'Incwm (De-ddwyrain)'!G74,'Incwm (De-ddwyrain)'!Y74)</f>
        <v>59124.925438631544</v>
      </c>
      <c r="AG74" s="4">
        <f>IF('Rhaniad y Ddeiliadaeth (Cymru)'!$D$8="Amcangyfrifon LlC",'Incwm (De-ddwyrain)'!H74,'Incwm (De-ddwyrain)'!Z74)</f>
        <v>61599.553437693139</v>
      </c>
    </row>
    <row r="75" spans="2:33" x14ac:dyDescent="0.25">
      <c r="B75" s="20">
        <v>81</v>
      </c>
      <c r="C75" s="57">
        <v>52523.83</v>
      </c>
      <c r="D75" s="57">
        <f>C75*(1+'Rhaniad y Ddeiliadaeth (De-ddn)'!C$109)+(C$44*(-(50-$B75)*('Rhaniad y Ddeiliadaeth (De-ddn)'!C$110/40)))</f>
        <v>54585.6530320331</v>
      </c>
      <c r="E75" s="57">
        <f>D75*(1+'Rhaniad y Ddeiliadaeth (De-ddn)'!D$109)+(D$44*(-(50-$B75)*('Rhaniad y Ddeiliadaeth (De-ddn)'!D$110/40)))</f>
        <v>56199.989075689409</v>
      </c>
      <c r="F75" s="57">
        <f>E75*(1+'Rhaniad y Ddeiliadaeth (De-ddn)'!E$109)+(E$44*(-(50-$B75)*('Rhaniad y Ddeiliadaeth (De-ddn)'!E$110/40)))</f>
        <v>58259.813483873928</v>
      </c>
      <c r="G75" s="57">
        <f>F75*(1+'Rhaniad y Ddeiliadaeth (De-ddn)'!F$109)+(F$44*(-(50-$B75)*('Rhaniad y Ddeiliadaeth (De-ddn)'!F$110/40)))</f>
        <v>60643.818998735551</v>
      </c>
      <c r="H75" s="58">
        <f>G75*(1+'Rhaniad y Ddeiliadaeth (De-ddn)'!G$109)+(G$44*(-(50-$B75)*('Rhaniad y Ddeiliadaeth (De-ddn)'!G$110/40)))</f>
        <v>63183.732859904099</v>
      </c>
      <c r="L75" s="62" t="str">
        <f t="shared" si="4"/>
        <v/>
      </c>
      <c r="M75" s="227"/>
      <c r="N75" s="14">
        <f t="shared" si="7"/>
        <v>1</v>
      </c>
      <c r="T75" s="1">
        <f t="shared" si="5"/>
        <v>81</v>
      </c>
      <c r="U75" s="4" t="str">
        <f t="shared" si="6"/>
        <v/>
      </c>
      <c r="V75" s="57" t="e">
        <f>IF($K$4=$V$3,M75,U75*(1+'Rhaniad y Ddeiliadaeth (De-ddn)'!C$109)+(U$44*(-(50-$B75)*('Rhaniad y Ddeiliadaeth (De-ddn)'!C$110/40))))</f>
        <v>#VALUE!</v>
      </c>
      <c r="W75" s="57" t="e">
        <f>V75*(1+'Rhaniad y Ddeiliadaeth (De-ddn)'!D$109)+(V$44*(-(50-$B75)*('Rhaniad y Ddeiliadaeth (De-ddn)'!D$110/40)))</f>
        <v>#VALUE!</v>
      </c>
      <c r="X75" s="57" t="e">
        <f>W75*(1+'Rhaniad y Ddeiliadaeth (De-ddn)'!E$109)+(W$44*(-(50-$B75)*('Rhaniad y Ddeiliadaeth (De-ddn)'!E$110/40)))</f>
        <v>#VALUE!</v>
      </c>
      <c r="Y75" s="57" t="e">
        <f>X75*(1+'Rhaniad y Ddeiliadaeth (De-ddn)'!F$109)+(X$44*(-(50-$B75)*('Rhaniad y Ddeiliadaeth (De-ddn)'!F$110/40)))</f>
        <v>#VALUE!</v>
      </c>
      <c r="Z75" s="57" t="e">
        <f>Y75*(1+'Rhaniad y Ddeiliadaeth (De-ddn)'!G$109)+(Y$44*(-(50-$B75)*('Rhaniad y Ddeiliadaeth (De-ddn)'!G$110/40)))</f>
        <v>#VALUE!</v>
      </c>
      <c r="AB75" s="1">
        <v>81</v>
      </c>
      <c r="AC75" s="4">
        <f>IF('Rhaniad y Ddeiliadaeth (Cymru)'!$D$8="Amcangyfrifon LlC",'Incwm (De-ddwyrain)'!D75,'Incwm (De-ddwyrain)'!V75)</f>
        <v>54585.6530320331</v>
      </c>
      <c r="AD75" s="4">
        <f>IF('Rhaniad y Ddeiliadaeth (Cymru)'!$D$8="Amcangyfrifon LlC",'Incwm (De-ddwyrain)'!E75,'Incwm (De-ddwyrain)'!W75)</f>
        <v>56199.989075689409</v>
      </c>
      <c r="AE75" s="4">
        <f>IF('Rhaniad y Ddeiliadaeth (Cymru)'!$D$8="Amcangyfrifon LlC",'Incwm (De-ddwyrain)'!F75,'Incwm (De-ddwyrain)'!X75)</f>
        <v>58259.813483873928</v>
      </c>
      <c r="AF75" s="4">
        <f>IF('Rhaniad y Ddeiliadaeth (Cymru)'!$D$8="Amcangyfrifon LlC",'Incwm (De-ddwyrain)'!G75,'Incwm (De-ddwyrain)'!Y75)</f>
        <v>60643.818998735551</v>
      </c>
      <c r="AG75" s="4">
        <f>IF('Rhaniad y Ddeiliadaeth (Cymru)'!$D$8="Amcangyfrifon LlC",'Incwm (De-ddwyrain)'!H75,'Incwm (De-ddwyrain)'!Z75)</f>
        <v>63183.732859904099</v>
      </c>
    </row>
    <row r="76" spans="2:33" x14ac:dyDescent="0.25">
      <c r="B76" s="20">
        <v>82</v>
      </c>
      <c r="C76" s="57">
        <v>53960.7</v>
      </c>
      <c r="D76" s="57">
        <f>C76*(1+'Rhaniad y Ddeiliadaeth (De-ddn)'!C$109)+(C$44*(-(50-$B76)*('Rhaniad y Ddeiliadaeth (De-ddn)'!C$110/40)))</f>
        <v>56079.925653113751</v>
      </c>
      <c r="E76" s="57">
        <f>D76*(1+'Rhaniad y Ddeiliadaeth (De-ddn)'!D$109)+(D$44*(-(50-$B76)*('Rhaniad y Ddeiliadaeth (De-ddn)'!D$110/40)))</f>
        <v>57739.483608243725</v>
      </c>
      <c r="F76" s="57">
        <f>E76*(1+'Rhaniad y Ddeiliadaeth (De-ddn)'!E$109)+(E$44*(-(50-$B76)*('Rhaniad y Ddeiliadaeth (De-ddn)'!E$110/40)))</f>
        <v>59856.785348116282</v>
      </c>
      <c r="G76" s="57">
        <f>F76*(1+'Rhaniad y Ddeiliadaeth (De-ddn)'!F$109)+(F$44*(-(50-$B76)*('Rhaniad y Ddeiliadaeth (De-ddn)'!F$110/40)))</f>
        <v>62307.222076458776</v>
      </c>
      <c r="H76" s="58">
        <f>G76*(1+'Rhaniad y Ddeiliadaeth (De-ddn)'!G$109)+(G$44*(-(50-$B76)*('Rhaniad y Ddeiliadaeth (De-ddn)'!G$110/40)))</f>
        <v>64917.922153228988</v>
      </c>
      <c r="L76" s="62" t="str">
        <f t="shared" si="4"/>
        <v/>
      </c>
      <c r="M76" s="227"/>
      <c r="N76" s="14">
        <f t="shared" si="7"/>
        <v>1</v>
      </c>
      <c r="T76" s="1">
        <f t="shared" si="5"/>
        <v>82</v>
      </c>
      <c r="U76" s="4" t="str">
        <f t="shared" si="6"/>
        <v/>
      </c>
      <c r="V76" s="57" t="e">
        <f>IF($K$4=$V$3,M76,U76*(1+'Rhaniad y Ddeiliadaeth (De-ddn)'!C$109)+(U$44*(-(50-$B76)*('Rhaniad y Ddeiliadaeth (De-ddn)'!C$110/40))))</f>
        <v>#VALUE!</v>
      </c>
      <c r="W76" s="57" t="e">
        <f>V76*(1+'Rhaniad y Ddeiliadaeth (De-ddn)'!D$109)+(V$44*(-(50-$B76)*('Rhaniad y Ddeiliadaeth (De-ddn)'!D$110/40)))</f>
        <v>#VALUE!</v>
      </c>
      <c r="X76" s="57" t="e">
        <f>W76*(1+'Rhaniad y Ddeiliadaeth (De-ddn)'!E$109)+(W$44*(-(50-$B76)*('Rhaniad y Ddeiliadaeth (De-ddn)'!E$110/40)))</f>
        <v>#VALUE!</v>
      </c>
      <c r="Y76" s="57" t="e">
        <f>X76*(1+'Rhaniad y Ddeiliadaeth (De-ddn)'!F$109)+(X$44*(-(50-$B76)*('Rhaniad y Ddeiliadaeth (De-ddn)'!F$110/40)))</f>
        <v>#VALUE!</v>
      </c>
      <c r="Z76" s="57" t="e">
        <f>Y76*(1+'Rhaniad y Ddeiliadaeth (De-ddn)'!G$109)+(Y$44*(-(50-$B76)*('Rhaniad y Ddeiliadaeth (De-ddn)'!G$110/40)))</f>
        <v>#VALUE!</v>
      </c>
      <c r="AB76" s="1">
        <v>82</v>
      </c>
      <c r="AC76" s="4">
        <f>IF('Rhaniad y Ddeiliadaeth (Cymru)'!$D$8="Amcangyfrifon LlC",'Incwm (De-ddwyrain)'!D76,'Incwm (De-ddwyrain)'!V76)</f>
        <v>56079.925653113751</v>
      </c>
      <c r="AD76" s="4">
        <f>IF('Rhaniad y Ddeiliadaeth (Cymru)'!$D$8="Amcangyfrifon LlC",'Incwm (De-ddwyrain)'!E76,'Incwm (De-ddwyrain)'!W76)</f>
        <v>57739.483608243725</v>
      </c>
      <c r="AE76" s="4">
        <f>IF('Rhaniad y Ddeiliadaeth (Cymru)'!$D$8="Amcangyfrifon LlC",'Incwm (De-ddwyrain)'!F76,'Incwm (De-ddwyrain)'!X76)</f>
        <v>59856.785348116282</v>
      </c>
      <c r="AF76" s="4">
        <f>IF('Rhaniad y Ddeiliadaeth (Cymru)'!$D$8="Amcangyfrifon LlC",'Incwm (De-ddwyrain)'!G76,'Incwm (De-ddwyrain)'!Y76)</f>
        <v>62307.222076458776</v>
      </c>
      <c r="AG76" s="4">
        <f>IF('Rhaniad y Ddeiliadaeth (Cymru)'!$D$8="Amcangyfrifon LlC",'Incwm (De-ddwyrain)'!H76,'Incwm (De-ddwyrain)'!Z76)</f>
        <v>64917.922153228988</v>
      </c>
    </row>
    <row r="77" spans="2:33" x14ac:dyDescent="0.25">
      <c r="B77" s="20">
        <v>83</v>
      </c>
      <c r="C77" s="57">
        <v>55520.6</v>
      </c>
      <c r="D77" s="57">
        <f>C77*(1+'Rhaniad y Ddeiliadaeth (De-ddn)'!C$109)+(C$44*(-(50-$B77)*('Rhaniad y Ddeiliadaeth (De-ddn)'!C$110/40)))</f>
        <v>57701.580751122063</v>
      </c>
      <c r="E77" s="57">
        <f>D77*(1+'Rhaniad y Ddeiliadaeth (De-ddn)'!D$109)+(D$44*(-(50-$B77)*('Rhaniad y Ddeiliadaeth (De-ddn)'!D$110/40)))</f>
        <v>59409.635773363596</v>
      </c>
      <c r="F77" s="57">
        <f>E77*(1+'Rhaniad y Ddeiliadaeth (De-ddn)'!E$109)+(E$44*(-(50-$B77)*('Rhaniad y Ddeiliadaeth (De-ddn)'!E$110/40)))</f>
        <v>61588.700808754402</v>
      </c>
      <c r="G77" s="57">
        <f>F77*(1+'Rhaniad y Ddeiliadaeth (De-ddn)'!F$109)+(F$44*(-(50-$B77)*('Rhaniad y Ddeiliadaeth (De-ddn)'!F$110/40)))</f>
        <v>64110.573248897788</v>
      </c>
      <c r="H77" s="58">
        <f>G77*(1+'Rhaniad y Ddeiliadaeth (De-ddn)'!G$109)+(G$44*(-(50-$B77)*('Rhaniad y Ddeiliadaeth (De-ddn)'!G$110/40)))</f>
        <v>66797.386276868318</v>
      </c>
      <c r="L77" s="62" t="str">
        <f t="shared" si="4"/>
        <v/>
      </c>
      <c r="M77" s="227"/>
      <c r="N77" s="14">
        <f t="shared" si="7"/>
        <v>1</v>
      </c>
      <c r="T77" s="1">
        <f t="shared" si="5"/>
        <v>83</v>
      </c>
      <c r="U77" s="4" t="str">
        <f t="shared" si="6"/>
        <v/>
      </c>
      <c r="V77" s="57" t="e">
        <f>IF($K$4=$V$3,M77,U77*(1+'Rhaniad y Ddeiliadaeth (De-ddn)'!C$109)+(U$44*(-(50-$B77)*('Rhaniad y Ddeiliadaeth (De-ddn)'!C$110/40))))</f>
        <v>#VALUE!</v>
      </c>
      <c r="W77" s="57" t="e">
        <f>V77*(1+'Rhaniad y Ddeiliadaeth (De-ddn)'!D$109)+(V$44*(-(50-$B77)*('Rhaniad y Ddeiliadaeth (De-ddn)'!D$110/40)))</f>
        <v>#VALUE!</v>
      </c>
      <c r="X77" s="57" t="e">
        <f>W77*(1+'Rhaniad y Ddeiliadaeth (De-ddn)'!E$109)+(W$44*(-(50-$B77)*('Rhaniad y Ddeiliadaeth (De-ddn)'!E$110/40)))</f>
        <v>#VALUE!</v>
      </c>
      <c r="Y77" s="57" t="e">
        <f>X77*(1+'Rhaniad y Ddeiliadaeth (De-ddn)'!F$109)+(X$44*(-(50-$B77)*('Rhaniad y Ddeiliadaeth (De-ddn)'!F$110/40)))</f>
        <v>#VALUE!</v>
      </c>
      <c r="Z77" s="57" t="e">
        <f>Y77*(1+'Rhaniad y Ddeiliadaeth (De-ddn)'!G$109)+(Y$44*(-(50-$B77)*('Rhaniad y Ddeiliadaeth (De-ddn)'!G$110/40)))</f>
        <v>#VALUE!</v>
      </c>
      <c r="AB77" s="1">
        <v>83</v>
      </c>
      <c r="AC77" s="4">
        <f>IF('Rhaniad y Ddeiliadaeth (Cymru)'!$D$8="Amcangyfrifon LlC",'Incwm (De-ddwyrain)'!D77,'Incwm (De-ddwyrain)'!V77)</f>
        <v>57701.580751122063</v>
      </c>
      <c r="AD77" s="4">
        <f>IF('Rhaniad y Ddeiliadaeth (Cymru)'!$D$8="Amcangyfrifon LlC",'Incwm (De-ddwyrain)'!E77,'Incwm (De-ddwyrain)'!W77)</f>
        <v>59409.635773363596</v>
      </c>
      <c r="AE77" s="4">
        <f>IF('Rhaniad y Ddeiliadaeth (Cymru)'!$D$8="Amcangyfrifon LlC",'Incwm (De-ddwyrain)'!F77,'Incwm (De-ddwyrain)'!X77)</f>
        <v>61588.700808754402</v>
      </c>
      <c r="AF77" s="4">
        <f>IF('Rhaniad y Ddeiliadaeth (Cymru)'!$D$8="Amcangyfrifon LlC",'Incwm (De-ddwyrain)'!G77,'Incwm (De-ddwyrain)'!Y77)</f>
        <v>64110.573248897788</v>
      </c>
      <c r="AG77" s="4">
        <f>IF('Rhaniad y Ddeiliadaeth (Cymru)'!$D$8="Amcangyfrifon LlC",'Incwm (De-ddwyrain)'!H77,'Incwm (De-ddwyrain)'!Z77)</f>
        <v>66797.386276868318</v>
      </c>
    </row>
    <row r="78" spans="2:33" x14ac:dyDescent="0.25">
      <c r="B78" s="20">
        <v>84</v>
      </c>
      <c r="C78" s="57">
        <v>57058</v>
      </c>
      <c r="D78" s="57">
        <f>C78*(1+'Rhaniad y Ddeiliadaeth (De-ddn)'!C$109)+(C$44*(-(50-$B78)*('Rhaniad y Ddeiliadaeth (De-ddn)'!C$110/40)))</f>
        <v>59299.9398584706</v>
      </c>
      <c r="E78" s="57">
        <f>D78*(1+'Rhaniad y Ddeiliadaeth (De-ddn)'!D$109)+(D$44*(-(50-$B78)*('Rhaniad y Ddeiliadaeth (De-ddn)'!D$110/40)))</f>
        <v>61055.892980077195</v>
      </c>
      <c r="F78" s="57">
        <f>E78*(1+'Rhaniad y Ddeiliadaeth (De-ddn)'!E$109)+(E$44*(-(50-$B78)*('Rhaniad y Ddeiliadaeth (De-ddn)'!E$110/40)))</f>
        <v>63295.937484389658</v>
      </c>
      <c r="G78" s="57">
        <f>F78*(1+'Rhaniad y Ddeiliadaeth (De-ddn)'!F$109)+(F$44*(-(50-$B78)*('Rhaniad y Ddeiliadaeth (De-ddn)'!F$110/40)))</f>
        <v>65888.330402551932</v>
      </c>
      <c r="H78" s="58">
        <f>G78*(1+'Rhaniad y Ddeiliadaeth (De-ddn)'!G$109)+(G$44*(-(50-$B78)*('Rhaniad y Ddeiliadaeth (De-ddn)'!G$110/40)))</f>
        <v>68650.282216470659</v>
      </c>
      <c r="L78" s="62" t="str">
        <f t="shared" si="4"/>
        <v/>
      </c>
      <c r="M78" s="227"/>
      <c r="N78" s="14">
        <f t="shared" si="7"/>
        <v>1</v>
      </c>
      <c r="T78" s="1">
        <f t="shared" si="5"/>
        <v>84</v>
      </c>
      <c r="U78" s="4" t="str">
        <f t="shared" si="6"/>
        <v/>
      </c>
      <c r="V78" s="57" t="e">
        <f>IF($K$4=$V$3,M78,U78*(1+'Rhaniad y Ddeiliadaeth (De-ddn)'!C$109)+(U$44*(-(50-$B78)*('Rhaniad y Ddeiliadaeth (De-ddn)'!C$110/40))))</f>
        <v>#VALUE!</v>
      </c>
      <c r="W78" s="57" t="e">
        <f>V78*(1+'Rhaniad y Ddeiliadaeth (De-ddn)'!D$109)+(V$44*(-(50-$B78)*('Rhaniad y Ddeiliadaeth (De-ddn)'!D$110/40)))</f>
        <v>#VALUE!</v>
      </c>
      <c r="X78" s="57" t="e">
        <f>W78*(1+'Rhaniad y Ddeiliadaeth (De-ddn)'!E$109)+(W$44*(-(50-$B78)*('Rhaniad y Ddeiliadaeth (De-ddn)'!E$110/40)))</f>
        <v>#VALUE!</v>
      </c>
      <c r="Y78" s="57" t="e">
        <f>X78*(1+'Rhaniad y Ddeiliadaeth (De-ddn)'!F$109)+(X$44*(-(50-$B78)*('Rhaniad y Ddeiliadaeth (De-ddn)'!F$110/40)))</f>
        <v>#VALUE!</v>
      </c>
      <c r="Z78" s="57" t="e">
        <f>Y78*(1+'Rhaniad y Ddeiliadaeth (De-ddn)'!G$109)+(Y$44*(-(50-$B78)*('Rhaniad y Ddeiliadaeth (De-ddn)'!G$110/40)))</f>
        <v>#VALUE!</v>
      </c>
      <c r="AB78" s="1">
        <v>84</v>
      </c>
      <c r="AC78" s="4">
        <f>IF('Rhaniad y Ddeiliadaeth (Cymru)'!$D$8="Amcangyfrifon LlC",'Incwm (De-ddwyrain)'!D78,'Incwm (De-ddwyrain)'!V78)</f>
        <v>59299.9398584706</v>
      </c>
      <c r="AD78" s="4">
        <f>IF('Rhaniad y Ddeiliadaeth (Cymru)'!$D$8="Amcangyfrifon LlC",'Incwm (De-ddwyrain)'!E78,'Incwm (De-ddwyrain)'!W78)</f>
        <v>61055.892980077195</v>
      </c>
      <c r="AE78" s="4">
        <f>IF('Rhaniad y Ddeiliadaeth (Cymru)'!$D$8="Amcangyfrifon LlC",'Incwm (De-ddwyrain)'!F78,'Incwm (De-ddwyrain)'!X78)</f>
        <v>63295.937484389658</v>
      </c>
      <c r="AF78" s="4">
        <f>IF('Rhaniad y Ddeiliadaeth (Cymru)'!$D$8="Amcangyfrifon LlC",'Incwm (De-ddwyrain)'!G78,'Incwm (De-ddwyrain)'!Y78)</f>
        <v>65888.330402551932</v>
      </c>
      <c r="AG78" s="4">
        <f>IF('Rhaniad y Ddeiliadaeth (Cymru)'!$D$8="Amcangyfrifon LlC",'Incwm (De-ddwyrain)'!H78,'Incwm (De-ddwyrain)'!Z78)</f>
        <v>68650.282216470659</v>
      </c>
    </row>
    <row r="79" spans="2:33" x14ac:dyDescent="0.25">
      <c r="B79" s="20">
        <v>85</v>
      </c>
      <c r="C79" s="57">
        <v>59207.5</v>
      </c>
      <c r="D79" s="57">
        <f>C79*(1+'Rhaniad y Ddeiliadaeth (De-ddn)'!C$109)+(C$44*(-(50-$B79)*('Rhaniad y Ddeiliadaeth (De-ddn)'!C$110/40)))</f>
        <v>61532.053449501349</v>
      </c>
      <c r="E79" s="57">
        <f>D79*(1+'Rhaniad y Ddeiliadaeth (De-ddn)'!D$109)+(D$44*(-(50-$B79)*('Rhaniad y Ddeiliadaeth (De-ddn)'!D$110/40)))</f>
        <v>63352.199255256855</v>
      </c>
      <c r="F79" s="57">
        <f>E79*(1+'Rhaniad y Ddeiliadaeth (De-ddn)'!E$109)+(E$44*(-(50-$B79)*('Rhaniad y Ddeiliadaeth (De-ddn)'!E$110/40)))</f>
        <v>65674.54679559225</v>
      </c>
      <c r="G79" s="57">
        <f>F79*(1+'Rhaniad y Ddeiliadaeth (De-ddn)'!F$109)+(F$44*(-(50-$B79)*('Rhaniad y Ddeiliadaeth (De-ddn)'!F$110/40)))</f>
        <v>68362.358618349725</v>
      </c>
      <c r="H79" s="58">
        <f>G79*(1+'Rhaniad y Ddeiliadaeth (De-ddn)'!G$109)+(G$44*(-(50-$B79)*('Rhaniad y Ddeiliadaeth (De-ddn)'!G$110/40)))</f>
        <v>71225.950842697988</v>
      </c>
      <c r="L79" s="62" t="str">
        <f t="shared" si="4"/>
        <v/>
      </c>
      <c r="M79" s="227"/>
      <c r="N79" s="14">
        <f t="shared" si="7"/>
        <v>1</v>
      </c>
      <c r="T79" s="1">
        <f t="shared" si="5"/>
        <v>85</v>
      </c>
      <c r="U79" s="4" t="str">
        <f t="shared" si="6"/>
        <v/>
      </c>
      <c r="V79" s="57" t="e">
        <f>IF($K$4=$V$3,M79,U79*(1+'Rhaniad y Ddeiliadaeth (De-ddn)'!C$109)+(U$44*(-(50-$B79)*('Rhaniad y Ddeiliadaeth (De-ddn)'!C$110/40))))</f>
        <v>#VALUE!</v>
      </c>
      <c r="W79" s="57" t="e">
        <f>V79*(1+'Rhaniad y Ddeiliadaeth (De-ddn)'!D$109)+(V$44*(-(50-$B79)*('Rhaniad y Ddeiliadaeth (De-ddn)'!D$110/40)))</f>
        <v>#VALUE!</v>
      </c>
      <c r="X79" s="57" t="e">
        <f>W79*(1+'Rhaniad y Ddeiliadaeth (De-ddn)'!E$109)+(W$44*(-(50-$B79)*('Rhaniad y Ddeiliadaeth (De-ddn)'!E$110/40)))</f>
        <v>#VALUE!</v>
      </c>
      <c r="Y79" s="57" t="e">
        <f>X79*(1+'Rhaniad y Ddeiliadaeth (De-ddn)'!F$109)+(X$44*(-(50-$B79)*('Rhaniad y Ddeiliadaeth (De-ddn)'!F$110/40)))</f>
        <v>#VALUE!</v>
      </c>
      <c r="Z79" s="57" t="e">
        <f>Y79*(1+'Rhaniad y Ddeiliadaeth (De-ddn)'!G$109)+(Y$44*(-(50-$B79)*('Rhaniad y Ddeiliadaeth (De-ddn)'!G$110/40)))</f>
        <v>#VALUE!</v>
      </c>
      <c r="AB79" s="1">
        <v>85</v>
      </c>
      <c r="AC79" s="4">
        <f>IF('Rhaniad y Ddeiliadaeth (Cymru)'!$D$8="Amcangyfrifon LlC",'Incwm (De-ddwyrain)'!D79,'Incwm (De-ddwyrain)'!V79)</f>
        <v>61532.053449501349</v>
      </c>
      <c r="AD79" s="4">
        <f>IF('Rhaniad y Ddeiliadaeth (Cymru)'!$D$8="Amcangyfrifon LlC",'Incwm (De-ddwyrain)'!E79,'Incwm (De-ddwyrain)'!W79)</f>
        <v>63352.199255256855</v>
      </c>
      <c r="AE79" s="4">
        <f>IF('Rhaniad y Ddeiliadaeth (Cymru)'!$D$8="Amcangyfrifon LlC",'Incwm (De-ddwyrain)'!F79,'Incwm (De-ddwyrain)'!X79)</f>
        <v>65674.54679559225</v>
      </c>
      <c r="AF79" s="4">
        <f>IF('Rhaniad y Ddeiliadaeth (Cymru)'!$D$8="Amcangyfrifon LlC",'Incwm (De-ddwyrain)'!G79,'Incwm (De-ddwyrain)'!Y79)</f>
        <v>68362.358618349725</v>
      </c>
      <c r="AG79" s="4">
        <f>IF('Rhaniad y Ddeiliadaeth (Cymru)'!$D$8="Amcangyfrifon LlC",'Incwm (De-ddwyrain)'!H79,'Incwm (De-ddwyrain)'!Z79)</f>
        <v>71225.950842697988</v>
      </c>
    </row>
    <row r="80" spans="2:33" x14ac:dyDescent="0.25">
      <c r="B80" s="20">
        <v>86</v>
      </c>
      <c r="C80" s="57">
        <v>60364.25</v>
      </c>
      <c r="D80" s="57">
        <f>C80*(1+'Rhaniad y Ddeiliadaeth (De-ddn)'!C$109)+(C$44*(-(50-$B80)*('Rhaniad y Ddeiliadaeth (De-ddn)'!C$110/40)))</f>
        <v>62736.296163754581</v>
      </c>
      <c r="E80" s="57">
        <f>D80*(1+'Rhaniad y Ddeiliadaeth (De-ddn)'!D$109)+(D$44*(-(50-$B80)*('Rhaniad y Ddeiliadaeth (De-ddn)'!D$110/40)))</f>
        <v>64594.20686564369</v>
      </c>
      <c r="F80" s="57">
        <f>E80*(1+'Rhaniad y Ddeiliadaeth (De-ddn)'!E$109)+(E$44*(-(50-$B80)*('Rhaniad y Ddeiliadaeth (De-ddn)'!E$110/40)))</f>
        <v>66964.273270723148</v>
      </c>
      <c r="G80" s="57">
        <f>F80*(1+'Rhaniad y Ddeiliadaeth (De-ddn)'!F$109)+(F$44*(-(50-$B80)*('Rhaniad y Ddeiliadaeth (De-ddn)'!F$110/40)))</f>
        <v>69707.121849760777</v>
      </c>
      <c r="H80" s="58">
        <f>G80*(1+'Rhaniad y Ddeiliadaeth (De-ddn)'!G$109)+(G$44*(-(50-$B80)*('Rhaniad y Ddeiliadaeth (De-ddn)'!G$110/40)))</f>
        <v>72629.372148802824</v>
      </c>
      <c r="L80" s="62" t="str">
        <f t="shared" si="4"/>
        <v/>
      </c>
      <c r="M80" s="227"/>
      <c r="N80" s="14">
        <f t="shared" si="7"/>
        <v>1</v>
      </c>
      <c r="T80" s="1">
        <f t="shared" si="5"/>
        <v>86</v>
      </c>
      <c r="U80" s="4" t="str">
        <f t="shared" si="6"/>
        <v/>
      </c>
      <c r="V80" s="57" t="e">
        <f>IF($K$4=$V$3,M80,U80*(1+'Rhaniad y Ddeiliadaeth (De-ddn)'!C$109)+(U$44*(-(50-$B80)*('Rhaniad y Ddeiliadaeth (De-ddn)'!C$110/40))))</f>
        <v>#VALUE!</v>
      </c>
      <c r="W80" s="57" t="e">
        <f>V80*(1+'Rhaniad y Ddeiliadaeth (De-ddn)'!D$109)+(V$44*(-(50-$B80)*('Rhaniad y Ddeiliadaeth (De-ddn)'!D$110/40)))</f>
        <v>#VALUE!</v>
      </c>
      <c r="X80" s="57" t="e">
        <f>W80*(1+'Rhaniad y Ddeiliadaeth (De-ddn)'!E$109)+(W$44*(-(50-$B80)*('Rhaniad y Ddeiliadaeth (De-ddn)'!E$110/40)))</f>
        <v>#VALUE!</v>
      </c>
      <c r="Y80" s="57" t="e">
        <f>X80*(1+'Rhaniad y Ddeiliadaeth (De-ddn)'!F$109)+(X$44*(-(50-$B80)*('Rhaniad y Ddeiliadaeth (De-ddn)'!F$110/40)))</f>
        <v>#VALUE!</v>
      </c>
      <c r="Z80" s="57" t="e">
        <f>Y80*(1+'Rhaniad y Ddeiliadaeth (De-ddn)'!G$109)+(Y$44*(-(50-$B80)*('Rhaniad y Ddeiliadaeth (De-ddn)'!G$110/40)))</f>
        <v>#VALUE!</v>
      </c>
      <c r="AB80" s="1">
        <v>86</v>
      </c>
      <c r="AC80" s="4">
        <f>IF('Rhaniad y Ddeiliadaeth (Cymru)'!$D$8="Amcangyfrifon LlC",'Incwm (De-ddwyrain)'!D80,'Incwm (De-ddwyrain)'!V80)</f>
        <v>62736.296163754581</v>
      </c>
      <c r="AD80" s="4">
        <f>IF('Rhaniad y Ddeiliadaeth (Cymru)'!$D$8="Amcangyfrifon LlC",'Incwm (De-ddwyrain)'!E80,'Incwm (De-ddwyrain)'!W80)</f>
        <v>64594.20686564369</v>
      </c>
      <c r="AE80" s="4">
        <f>IF('Rhaniad y Ddeiliadaeth (Cymru)'!$D$8="Amcangyfrifon LlC",'Incwm (De-ddwyrain)'!F80,'Incwm (De-ddwyrain)'!X80)</f>
        <v>66964.273270723148</v>
      </c>
      <c r="AF80" s="4">
        <f>IF('Rhaniad y Ddeiliadaeth (Cymru)'!$D$8="Amcangyfrifon LlC",'Incwm (De-ddwyrain)'!G80,'Incwm (De-ddwyrain)'!Y80)</f>
        <v>69707.121849760777</v>
      </c>
      <c r="AG80" s="4">
        <f>IF('Rhaniad y Ddeiliadaeth (Cymru)'!$D$8="Amcangyfrifon LlC",'Incwm (De-ddwyrain)'!H80,'Incwm (De-ddwyrain)'!Z80)</f>
        <v>72629.372148802824</v>
      </c>
    </row>
    <row r="81" spans="2:33" x14ac:dyDescent="0.25">
      <c r="B81" s="20">
        <v>87</v>
      </c>
      <c r="C81" s="57">
        <v>62045</v>
      </c>
      <c r="D81" s="57">
        <f>C81*(1+'Rhaniad y Ddeiliadaeth (De-ddn)'!C$109)+(C$44*(-(50-$B81)*('Rhaniad y Ddeiliadaeth (De-ddn)'!C$110/40)))</f>
        <v>64483.076616039973</v>
      </c>
      <c r="E81" s="57">
        <f>D81*(1+'Rhaniad y Ddeiliadaeth (De-ddn)'!D$109)+(D$44*(-(50-$B81)*('Rhaniad y Ddeiliadaeth (De-ddn)'!D$110/40)))</f>
        <v>66392.701507359103</v>
      </c>
      <c r="F81" s="57">
        <f>E81*(1+'Rhaniad y Ddeiliadaeth (De-ddn)'!E$109)+(E$44*(-(50-$B81)*('Rhaniad y Ddeiliadaeth (De-ddn)'!E$110/40)))</f>
        <v>68828.741227698993</v>
      </c>
      <c r="G81" s="57">
        <f>F81*(1+'Rhaniad y Ddeiliadaeth (De-ddn)'!F$109)+(F$44*(-(50-$B81)*('Rhaniad y Ddeiliadaeth (De-ddn)'!F$110/40)))</f>
        <v>71647.941340873338</v>
      </c>
      <c r="H81" s="58">
        <f>G81*(1+'Rhaniad y Ddeiliadaeth (De-ddn)'!G$109)+(G$44*(-(50-$B81)*('Rhaniad y Ddeiliadaeth (De-ddn)'!G$110/40)))</f>
        <v>74651.536940925493</v>
      </c>
      <c r="L81" s="62" t="str">
        <f t="shared" si="4"/>
        <v/>
      </c>
      <c r="M81" s="227"/>
      <c r="N81" s="14">
        <f t="shared" si="7"/>
        <v>1</v>
      </c>
      <c r="T81" s="1">
        <f t="shared" si="5"/>
        <v>87</v>
      </c>
      <c r="U81" s="4" t="str">
        <f t="shared" si="6"/>
        <v/>
      </c>
      <c r="V81" s="57" t="e">
        <f>IF($K$4=$V$3,M81,U81*(1+'Rhaniad y Ddeiliadaeth (De-ddn)'!C$109)+(U$44*(-(50-$B81)*('Rhaniad y Ddeiliadaeth (De-ddn)'!C$110/40))))</f>
        <v>#VALUE!</v>
      </c>
      <c r="W81" s="57" t="e">
        <f>V81*(1+'Rhaniad y Ddeiliadaeth (De-ddn)'!D$109)+(V$44*(-(50-$B81)*('Rhaniad y Ddeiliadaeth (De-ddn)'!D$110/40)))</f>
        <v>#VALUE!</v>
      </c>
      <c r="X81" s="57" t="e">
        <f>W81*(1+'Rhaniad y Ddeiliadaeth (De-ddn)'!E$109)+(W$44*(-(50-$B81)*('Rhaniad y Ddeiliadaeth (De-ddn)'!E$110/40)))</f>
        <v>#VALUE!</v>
      </c>
      <c r="Y81" s="57" t="e">
        <f>X81*(1+'Rhaniad y Ddeiliadaeth (De-ddn)'!F$109)+(X$44*(-(50-$B81)*('Rhaniad y Ddeiliadaeth (De-ddn)'!F$110/40)))</f>
        <v>#VALUE!</v>
      </c>
      <c r="Z81" s="57" t="e">
        <f>Y81*(1+'Rhaniad y Ddeiliadaeth (De-ddn)'!G$109)+(Y$44*(-(50-$B81)*('Rhaniad y Ddeiliadaeth (De-ddn)'!G$110/40)))</f>
        <v>#VALUE!</v>
      </c>
      <c r="AB81" s="1">
        <v>87</v>
      </c>
      <c r="AC81" s="4">
        <f>IF('Rhaniad y Ddeiliadaeth (Cymru)'!$D$8="Amcangyfrifon LlC",'Incwm (De-ddwyrain)'!D81,'Incwm (De-ddwyrain)'!V81)</f>
        <v>64483.076616039973</v>
      </c>
      <c r="AD81" s="4">
        <f>IF('Rhaniad y Ddeiliadaeth (Cymru)'!$D$8="Amcangyfrifon LlC",'Incwm (De-ddwyrain)'!E81,'Incwm (De-ddwyrain)'!W81)</f>
        <v>66392.701507359103</v>
      </c>
      <c r="AE81" s="4">
        <f>IF('Rhaniad y Ddeiliadaeth (Cymru)'!$D$8="Amcangyfrifon LlC",'Incwm (De-ddwyrain)'!F81,'Incwm (De-ddwyrain)'!X81)</f>
        <v>68828.741227698993</v>
      </c>
      <c r="AF81" s="4">
        <f>IF('Rhaniad y Ddeiliadaeth (Cymru)'!$D$8="Amcangyfrifon LlC",'Incwm (De-ddwyrain)'!G81,'Incwm (De-ddwyrain)'!Y81)</f>
        <v>71647.941340873338</v>
      </c>
      <c r="AG81" s="4">
        <f>IF('Rhaniad y Ddeiliadaeth (Cymru)'!$D$8="Amcangyfrifon LlC",'Incwm (De-ddwyrain)'!H81,'Incwm (De-ddwyrain)'!Z81)</f>
        <v>74651.536940925493</v>
      </c>
    </row>
    <row r="82" spans="2:33" x14ac:dyDescent="0.25">
      <c r="B82" s="20">
        <v>88</v>
      </c>
      <c r="C82" s="57">
        <v>64744</v>
      </c>
      <c r="D82" s="57">
        <f>C82*(1+'Rhaniad y Ddeiliadaeth (De-ddn)'!C$109)+(C$44*(-(50-$B82)*('Rhaniad y Ddeiliadaeth (De-ddn)'!C$110/40)))</f>
        <v>67284.130067850623</v>
      </c>
      <c r="E82" s="57">
        <f>D82*(1+'Rhaniad y Ddeiliadaeth (De-ddn)'!D$109)+(D$44*(-(50-$B82)*('Rhaniad y Ddeiliadaeth (De-ddn)'!D$110/40)))</f>
        <v>69272.575766727794</v>
      </c>
      <c r="F82" s="57">
        <f>E82*(1+'Rhaniad y Ddeiliadaeth (De-ddn)'!E$109)+(E$44*(-(50-$B82)*('Rhaniad y Ddeiliadaeth (De-ddn)'!E$110/40)))</f>
        <v>71810.061310416495</v>
      </c>
      <c r="G82" s="57">
        <f>F82*(1+'Rhaniad y Ddeiliadaeth (De-ddn)'!F$109)+(F$44*(-(50-$B82)*('Rhaniad y Ddeiliadaeth (De-ddn)'!F$110/40)))</f>
        <v>74747.032370995526</v>
      </c>
      <c r="H82" s="58">
        <f>G82*(1+'Rhaniad y Ddeiliadaeth (De-ddn)'!G$109)+(G$44*(-(50-$B82)*('Rhaniad y Ddeiliadaeth (De-ddn)'!G$110/40)))</f>
        <v>77876.059661745952</v>
      </c>
      <c r="L82" s="62" t="str">
        <f t="shared" si="4"/>
        <v/>
      </c>
      <c r="M82" s="227"/>
      <c r="N82" s="14">
        <f t="shared" si="7"/>
        <v>1</v>
      </c>
      <c r="T82" s="1">
        <f t="shared" si="5"/>
        <v>88</v>
      </c>
      <c r="U82" s="4" t="str">
        <f t="shared" si="6"/>
        <v/>
      </c>
      <c r="V82" s="57" t="e">
        <f>IF($K$4=$V$3,M82,U82*(1+'Rhaniad y Ddeiliadaeth (De-ddn)'!C$109)+(U$44*(-(50-$B82)*('Rhaniad y Ddeiliadaeth (De-ddn)'!C$110/40))))</f>
        <v>#VALUE!</v>
      </c>
      <c r="W82" s="57" t="e">
        <f>V82*(1+'Rhaniad y Ddeiliadaeth (De-ddn)'!D$109)+(V$44*(-(50-$B82)*('Rhaniad y Ddeiliadaeth (De-ddn)'!D$110/40)))</f>
        <v>#VALUE!</v>
      </c>
      <c r="X82" s="57" t="e">
        <f>W82*(1+'Rhaniad y Ddeiliadaeth (De-ddn)'!E$109)+(W$44*(-(50-$B82)*('Rhaniad y Ddeiliadaeth (De-ddn)'!E$110/40)))</f>
        <v>#VALUE!</v>
      </c>
      <c r="Y82" s="57" t="e">
        <f>X82*(1+'Rhaniad y Ddeiliadaeth (De-ddn)'!F$109)+(X$44*(-(50-$B82)*('Rhaniad y Ddeiliadaeth (De-ddn)'!F$110/40)))</f>
        <v>#VALUE!</v>
      </c>
      <c r="Z82" s="57" t="e">
        <f>Y82*(1+'Rhaniad y Ddeiliadaeth (De-ddn)'!G$109)+(Y$44*(-(50-$B82)*('Rhaniad y Ddeiliadaeth (De-ddn)'!G$110/40)))</f>
        <v>#VALUE!</v>
      </c>
      <c r="AB82" s="1">
        <v>88</v>
      </c>
      <c r="AC82" s="4">
        <f>IF('Rhaniad y Ddeiliadaeth (Cymru)'!$D$8="Amcangyfrifon LlC",'Incwm (De-ddwyrain)'!D82,'Incwm (De-ddwyrain)'!V82)</f>
        <v>67284.130067850623</v>
      </c>
      <c r="AD82" s="4">
        <f>IF('Rhaniad y Ddeiliadaeth (Cymru)'!$D$8="Amcangyfrifon LlC",'Incwm (De-ddwyrain)'!E82,'Incwm (De-ddwyrain)'!W82)</f>
        <v>69272.575766727794</v>
      </c>
      <c r="AE82" s="4">
        <f>IF('Rhaniad y Ddeiliadaeth (Cymru)'!$D$8="Amcangyfrifon LlC",'Incwm (De-ddwyrain)'!F82,'Incwm (De-ddwyrain)'!X82)</f>
        <v>71810.061310416495</v>
      </c>
      <c r="AF82" s="4">
        <f>IF('Rhaniad y Ddeiliadaeth (Cymru)'!$D$8="Amcangyfrifon LlC",'Incwm (De-ddwyrain)'!G82,'Incwm (De-ddwyrain)'!Y82)</f>
        <v>74747.032370995526</v>
      </c>
      <c r="AG82" s="4">
        <f>IF('Rhaniad y Ddeiliadaeth (Cymru)'!$D$8="Amcangyfrifon LlC",'Incwm (De-ddwyrain)'!H82,'Incwm (De-ddwyrain)'!Z82)</f>
        <v>77876.059661745952</v>
      </c>
    </row>
    <row r="83" spans="2:33" x14ac:dyDescent="0.25">
      <c r="B83" s="20">
        <v>89</v>
      </c>
      <c r="C83" s="57">
        <v>67331</v>
      </c>
      <c r="D83" s="57">
        <f>C83*(1+'Rhaniad y Ddeiliadaeth (De-ddn)'!C$109)+(C$44*(-(50-$B83)*('Rhaniad y Ddeiliadaeth (De-ddn)'!C$110/40)))</f>
        <v>69969.221255043711</v>
      </c>
      <c r="E83" s="57">
        <f>D83*(1+'Rhaniad y Ddeiliadaeth (De-ddn)'!D$109)+(D$44*(-(50-$B83)*('Rhaniad y Ddeiliadaeth (De-ddn)'!D$110/40)))</f>
        <v>72033.506233140753</v>
      </c>
      <c r="F83" s="57">
        <f>E83*(1+'Rhaniad y Ddeiliadaeth (De-ddn)'!E$109)+(E$44*(-(50-$B83)*('Rhaniad y Ddeiliadaeth (De-ddn)'!E$110/40)))</f>
        <v>74668.535885564052</v>
      </c>
      <c r="G83" s="57">
        <f>F83*(1+'Rhaniad y Ddeiliadaeth (De-ddn)'!F$109)+(F$44*(-(50-$B83)*('Rhaniad y Ddeiliadaeth (De-ddn)'!F$110/40)))</f>
        <v>77718.72206316622</v>
      </c>
      <c r="H83" s="58">
        <f>G83*(1+'Rhaniad y Ddeiliadaeth (De-ddn)'!G$109)+(G$44*(-(50-$B83)*('Rhaniad y Ddeiliadaeth (De-ddn)'!G$110/40)))</f>
        <v>80968.331866470966</v>
      </c>
      <c r="L83" s="62" t="str">
        <f t="shared" si="4"/>
        <v/>
      </c>
      <c r="M83" s="227"/>
      <c r="N83" s="14">
        <f t="shared" si="7"/>
        <v>1</v>
      </c>
      <c r="T83" s="1">
        <f t="shared" si="5"/>
        <v>89</v>
      </c>
      <c r="U83" s="4" t="str">
        <f t="shared" si="6"/>
        <v/>
      </c>
      <c r="V83" s="57" t="e">
        <f>IF($K$4=$V$3,M83,U83*(1+'Rhaniad y Ddeiliadaeth (De-ddn)'!C$109)+(U$44*(-(50-$B83)*('Rhaniad y Ddeiliadaeth (De-ddn)'!C$110/40))))</f>
        <v>#VALUE!</v>
      </c>
      <c r="W83" s="57" t="e">
        <f>V83*(1+'Rhaniad y Ddeiliadaeth (De-ddn)'!D$109)+(V$44*(-(50-$B83)*('Rhaniad y Ddeiliadaeth (De-ddn)'!D$110/40)))</f>
        <v>#VALUE!</v>
      </c>
      <c r="X83" s="57" t="e">
        <f>W83*(1+'Rhaniad y Ddeiliadaeth (De-ddn)'!E$109)+(W$44*(-(50-$B83)*('Rhaniad y Ddeiliadaeth (De-ddn)'!E$110/40)))</f>
        <v>#VALUE!</v>
      </c>
      <c r="Y83" s="57" t="e">
        <f>X83*(1+'Rhaniad y Ddeiliadaeth (De-ddn)'!F$109)+(X$44*(-(50-$B83)*('Rhaniad y Ddeiliadaeth (De-ddn)'!F$110/40)))</f>
        <v>#VALUE!</v>
      </c>
      <c r="Z83" s="57" t="e">
        <f>Y83*(1+'Rhaniad y Ddeiliadaeth (De-ddn)'!G$109)+(Y$44*(-(50-$B83)*('Rhaniad y Ddeiliadaeth (De-ddn)'!G$110/40)))</f>
        <v>#VALUE!</v>
      </c>
      <c r="AB83" s="1">
        <v>89</v>
      </c>
      <c r="AC83" s="4">
        <f>IF('Rhaniad y Ddeiliadaeth (Cymru)'!$D$8="Amcangyfrifon LlC",'Incwm (De-ddwyrain)'!D83,'Incwm (De-ddwyrain)'!V83)</f>
        <v>69969.221255043711</v>
      </c>
      <c r="AD83" s="4">
        <f>IF('Rhaniad y Ddeiliadaeth (Cymru)'!$D$8="Amcangyfrifon LlC",'Incwm (De-ddwyrain)'!E83,'Incwm (De-ddwyrain)'!W83)</f>
        <v>72033.506233140753</v>
      </c>
      <c r="AE83" s="4">
        <f>IF('Rhaniad y Ddeiliadaeth (Cymru)'!$D$8="Amcangyfrifon LlC",'Incwm (De-ddwyrain)'!F83,'Incwm (De-ddwyrain)'!X83)</f>
        <v>74668.535885564052</v>
      </c>
      <c r="AF83" s="4">
        <f>IF('Rhaniad y Ddeiliadaeth (Cymru)'!$D$8="Amcangyfrifon LlC",'Incwm (De-ddwyrain)'!G83,'Incwm (De-ddwyrain)'!Y83)</f>
        <v>77718.72206316622</v>
      </c>
      <c r="AG83" s="4">
        <f>IF('Rhaniad y Ddeiliadaeth (Cymru)'!$D$8="Amcangyfrifon LlC",'Incwm (De-ddwyrain)'!H83,'Incwm (De-ddwyrain)'!Z83)</f>
        <v>80968.331866470966</v>
      </c>
    </row>
    <row r="84" spans="2:33" x14ac:dyDescent="0.25">
      <c r="B84" s="23">
        <v>90</v>
      </c>
      <c r="C84" s="60">
        <v>70654.67</v>
      </c>
      <c r="D84" s="60">
        <f>C84*(1+'Rhaniad y Ddeiliadaeth (De-ddn)'!C$109)+(C$44*(-(50-$B84)*('Rhaniad y Ddeiliadaeth (De-ddn)'!C$110/40)))</f>
        <v>73417.04388398517</v>
      </c>
      <c r="E84" s="60">
        <f>D84*(1+'Rhaniad y Ddeiliadaeth (De-ddn)'!D$109)+(D$44*(-(50-$B84)*('Rhaniad y Ddeiliadaeth (De-ddn)'!D$110/40)))</f>
        <v>75576.778877738499</v>
      </c>
      <c r="F84" s="60">
        <f>E84*(1+'Rhaniad y Ddeiliadaeth (De-ddn)'!E$109)+(E$44*(-(50-$B84)*('Rhaniad y Ddeiliadaeth (De-ddn)'!E$110/40)))</f>
        <v>78335.015818403845</v>
      </c>
      <c r="G84" s="60">
        <f>F84*(1+'Rhaniad y Ddeiliadaeth (De-ddn)'!F$109)+(F$44*(-(50-$B84)*('Rhaniad y Ddeiliadaeth (De-ddn)'!F$110/40)))</f>
        <v>81528.382680593233</v>
      </c>
      <c r="H84" s="61">
        <f>G84*(1+'Rhaniad y Ddeiliadaeth (De-ddn)'!G$109)+(G$44*(-(50-$B84)*('Rhaniad y Ddeiliadaeth (De-ddn)'!G$110/40)))</f>
        <v>84930.470032731755</v>
      </c>
      <c r="L84" s="63" t="str">
        <f t="shared" si="4"/>
        <v/>
      </c>
      <c r="M84" s="227"/>
      <c r="N84" s="14">
        <f t="shared" si="7"/>
        <v>1</v>
      </c>
      <c r="T84" s="1">
        <f t="shared" si="5"/>
        <v>90</v>
      </c>
      <c r="U84" s="4" t="str">
        <f t="shared" si="6"/>
        <v/>
      </c>
      <c r="V84" s="57" t="e">
        <f>IF($K$4=$V$3,M84,U84*(1+'Rhaniad y Ddeiliadaeth (De-ddn)'!C$109)+(U$44*(-(50-$B84)*('Rhaniad y Ddeiliadaeth (De-ddn)'!C$110/40))))</f>
        <v>#VALUE!</v>
      </c>
      <c r="W84" s="57" t="e">
        <f>V84*(1+'Rhaniad y Ddeiliadaeth (De-ddn)'!D$109)+(V$44*(-(50-$B84)*('Rhaniad y Ddeiliadaeth (De-ddn)'!D$110/40)))</f>
        <v>#VALUE!</v>
      </c>
      <c r="X84" s="57" t="e">
        <f>W84*(1+'Rhaniad y Ddeiliadaeth (De-ddn)'!E$109)+(W$44*(-(50-$B84)*('Rhaniad y Ddeiliadaeth (De-ddn)'!E$110/40)))</f>
        <v>#VALUE!</v>
      </c>
      <c r="Y84" s="57" t="e">
        <f>X84*(1+'Rhaniad y Ddeiliadaeth (De-ddn)'!F$109)+(X$44*(-(50-$B84)*('Rhaniad y Ddeiliadaeth (De-ddn)'!F$110/40)))</f>
        <v>#VALUE!</v>
      </c>
      <c r="Z84" s="57" t="e">
        <f>Y84*(1+'Rhaniad y Ddeiliadaeth (De-ddn)'!G$109)+(Y$44*(-(50-$B84)*('Rhaniad y Ddeiliadaeth (De-ddn)'!G$110/40)))</f>
        <v>#VALUE!</v>
      </c>
      <c r="AB84" s="1">
        <v>90</v>
      </c>
      <c r="AC84" s="4">
        <f>IF('Rhaniad y Ddeiliadaeth (Cymru)'!$D$8="Amcangyfrifon LlC",'Incwm (De-ddwyrain)'!D84,'Incwm (De-ddwyrain)'!V84)</f>
        <v>73417.04388398517</v>
      </c>
      <c r="AD84" s="4">
        <f>IF('Rhaniad y Ddeiliadaeth (Cymru)'!$D$8="Amcangyfrifon LlC",'Incwm (De-ddwyrain)'!E84,'Incwm (De-ddwyrain)'!W84)</f>
        <v>75576.778877738499</v>
      </c>
      <c r="AE84" s="4">
        <f>IF('Rhaniad y Ddeiliadaeth (Cymru)'!$D$8="Amcangyfrifon LlC",'Incwm (De-ddwyrain)'!F84,'Incwm (De-ddwyrain)'!X84)</f>
        <v>78335.015818403845</v>
      </c>
      <c r="AF84" s="4">
        <f>IF('Rhaniad y Ddeiliadaeth (Cymru)'!$D$8="Amcangyfrifon LlC",'Incwm (De-ddwyrain)'!G84,'Incwm (De-ddwyrain)'!Y84)</f>
        <v>81528.382680593233</v>
      </c>
      <c r="AG84" s="4">
        <f>IF('Rhaniad y Ddeiliadaeth (Cymru)'!$D$8="Amcangyfrifon LlC",'Incwm (De-ddwyrain)'!H84,'Incwm (De-ddwyrain)'!Z84)</f>
        <v>84930.470032731755</v>
      </c>
    </row>
    <row r="85" spans="2:33" x14ac:dyDescent="0.25">
      <c r="N85" s="14">
        <f>IF(SUM(N4:N84)&gt;0,1,0)</f>
        <v>1</v>
      </c>
    </row>
  </sheetData>
  <sheetProtection sheet="1" objects="1" scenarios="1"/>
  <mergeCells count="3">
    <mergeCell ref="B2:H2"/>
    <mergeCell ref="J2:M2"/>
    <mergeCell ref="J9:J10"/>
  </mergeCells>
  <dataValidations count="2">
    <dataValidation type="list" allowBlank="1" showInputMessage="1" showErrorMessage="1" sqref="K4">
      <formula1>"2017,2018"</formula1>
    </dataValidation>
    <dataValidation type="decimal" operator="greaterThan" allowBlank="1" showInputMessage="1" showErrorMessage="1" sqref="M4:M84">
      <formula1>0</formula1>
    </dataValidation>
  </dataValidations>
  <pageMargins left="0.7" right="0.7" top="0.75" bottom="0.75" header="0.3" footer="0.3"/>
  <pageSetup paperSize="9" scale="42" orientation="portrait" horizontalDpi="300" verticalDpi="300"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AG85"/>
  <sheetViews>
    <sheetView showGridLines="0" workbookViewId="0"/>
  </sheetViews>
  <sheetFormatPr defaultColWidth="9.140625" defaultRowHeight="15" x14ac:dyDescent="0.25"/>
  <cols>
    <col min="1" max="1" width="2.140625" style="1" customWidth="1"/>
    <col min="2" max="2" width="10.140625" style="1" bestFit="1" customWidth="1"/>
    <col min="3" max="3" width="9.140625" style="1"/>
    <col min="4" max="8" width="10.140625" style="1" bestFit="1" customWidth="1"/>
    <col min="9" max="9" width="9.140625" style="1"/>
    <col min="10" max="10" width="66.28515625" style="1" customWidth="1"/>
    <col min="11" max="11" width="9.140625" style="1"/>
    <col min="12" max="12" width="10.140625" style="1" customWidth="1"/>
    <col min="13" max="13" width="9.140625" style="1"/>
    <col min="14" max="14" width="9.140625" style="1" hidden="1" customWidth="1"/>
    <col min="15" max="15" width="9.140625" style="1"/>
    <col min="16" max="16" width="13.42578125" style="1" customWidth="1"/>
    <col min="17" max="17" width="8" style="1" customWidth="1"/>
    <col min="18" max="19" width="9.140625" style="1"/>
    <col min="20" max="20" width="9.140625" style="1" hidden="1" customWidth="1"/>
    <col min="21" max="26" width="10.140625" style="1" hidden="1" customWidth="1"/>
    <col min="27" max="28" width="9.140625" style="1" customWidth="1"/>
    <col min="29" max="29" width="10.140625" style="1" customWidth="1"/>
    <col min="30" max="33" width="9.140625" style="1" customWidth="1"/>
    <col min="34" max="16384" width="9.140625" style="1"/>
  </cols>
  <sheetData>
    <row r="1" spans="2:33" ht="9.75" customHeight="1" x14ac:dyDescent="0.25"/>
    <row r="2" spans="2:33" ht="26.25" customHeight="1" x14ac:dyDescent="0.25">
      <c r="B2" s="414" t="s">
        <v>318</v>
      </c>
      <c r="C2" s="415"/>
      <c r="D2" s="415"/>
      <c r="E2" s="415"/>
      <c r="F2" s="415"/>
      <c r="G2" s="415"/>
      <c r="H2" s="416"/>
      <c r="J2" s="417" t="s">
        <v>145</v>
      </c>
      <c r="K2" s="418"/>
      <c r="L2" s="418"/>
      <c r="M2" s="419"/>
      <c r="N2" s="65"/>
      <c r="U2" s="1" t="s">
        <v>295</v>
      </c>
      <c r="AB2" s="1" t="s">
        <v>296</v>
      </c>
    </row>
    <row r="3" spans="2:33" x14ac:dyDescent="0.25">
      <c r="B3" s="34" t="s">
        <v>144</v>
      </c>
      <c r="C3" s="35">
        <v>2017</v>
      </c>
      <c r="D3" s="35">
        <v>2018</v>
      </c>
      <c r="E3" s="35">
        <v>2019</v>
      </c>
      <c r="F3" s="35">
        <v>2020</v>
      </c>
      <c r="G3" s="35">
        <v>2021</v>
      </c>
      <c r="H3" s="55">
        <v>2022</v>
      </c>
      <c r="L3" s="34" t="s">
        <v>144</v>
      </c>
      <c r="M3" s="64">
        <f>K4</f>
        <v>0</v>
      </c>
      <c r="N3" s="66" t="s">
        <v>298</v>
      </c>
      <c r="U3" s="1">
        <v>2017</v>
      </c>
      <c r="V3" s="1">
        <v>2018</v>
      </c>
      <c r="W3" s="1">
        <v>2019</v>
      </c>
      <c r="X3" s="1">
        <v>2020</v>
      </c>
      <c r="Y3" s="1">
        <v>2021</v>
      </c>
      <c r="Z3" s="1">
        <v>2022</v>
      </c>
      <c r="AC3" s="1" t="s">
        <v>0</v>
      </c>
      <c r="AD3" s="1" t="s">
        <v>1</v>
      </c>
      <c r="AE3" s="1" t="s">
        <v>2</v>
      </c>
      <c r="AF3" s="1" t="s">
        <v>3</v>
      </c>
      <c r="AG3" s="1" t="s">
        <v>4</v>
      </c>
    </row>
    <row r="4" spans="2:33" x14ac:dyDescent="0.25">
      <c r="B4" s="20">
        <v>10</v>
      </c>
      <c r="C4" s="56">
        <v>77000</v>
      </c>
      <c r="D4" s="57">
        <f>C4*(1+'Rhaniad y Ddeiliadaeth (Cymru)'!C$118)</f>
        <v>79187.230067568278</v>
      </c>
      <c r="E4" s="57">
        <f>D4*(1+'Rhaniad y Ddeiliadaeth (Cymru)'!D$118)</f>
        <v>79363.544770190711</v>
      </c>
      <c r="F4" s="57">
        <f>E4*(1+'Rhaniad y Ddeiliadaeth (Cymru)'!E$118)</f>
        <v>81071.795868230634</v>
      </c>
      <c r="G4" s="57">
        <f>F4*(1+'Rhaniad y Ddeiliadaeth (Cymru)'!F$118)</f>
        <v>84233.528497600957</v>
      </c>
      <c r="H4" s="58">
        <f>G4*(1+'Rhaniad y Ddeiliadaeth (Cymru)'!G$118)</f>
        <v>87727.528849710958</v>
      </c>
      <c r="I4" s="4"/>
      <c r="J4" s="67" t="str">
        <f>IF('Rhaniad y Ddeiliadaeth (Cymru)'!D18="Arall","Choose what year of data you would like to enter:","")</f>
        <v/>
      </c>
      <c r="K4" s="238"/>
      <c r="L4" s="62" t="str">
        <f t="shared" ref="L4:L67" si="0">IF(ISBLANK($K$4),"",B4)</f>
        <v/>
      </c>
      <c r="M4" s="239"/>
      <c r="N4" s="14">
        <f>IF(ISBLANK(M4),1,0)</f>
        <v>1</v>
      </c>
      <c r="O4" s="11" t="str">
        <f>IF(J4="","",IF(N85=1,"&lt;&lt; Ychwanegwch ddata pob canradd fan hyn.",""))</f>
        <v/>
      </c>
      <c r="T4" s="1">
        <f t="shared" ref="T4:T67" si="1">B4</f>
        <v>10</v>
      </c>
      <c r="U4" s="4" t="str">
        <f t="shared" ref="U4:U67" si="2">IF($M$3=$U$3,M4,"")</f>
        <v/>
      </c>
      <c r="V4" s="4" t="e">
        <f>IF($V$3=$M$3,M4,U4*(1+'Rhaniad y Ddeiliadaeth (Cymru)'!C$118))</f>
        <v>#VALUE!</v>
      </c>
      <c r="W4" s="4" t="e">
        <f>V4*(1+'Rhaniad y Ddeiliadaeth (Cymru)'!D$118)</f>
        <v>#VALUE!</v>
      </c>
      <c r="X4" s="4" t="e">
        <f>W4*(1+'Rhaniad y Ddeiliadaeth (Cymru)'!E$118)</f>
        <v>#VALUE!</v>
      </c>
      <c r="Y4" s="4" t="e">
        <f>X4*(1+'Rhaniad y Ddeiliadaeth (Cymru)'!F$118)</f>
        <v>#VALUE!</v>
      </c>
      <c r="Z4" s="4" t="e">
        <f>Y4*(1+'Rhaniad y Ddeiliadaeth (Cymru)'!G$118)</f>
        <v>#VALUE!</v>
      </c>
      <c r="AB4" s="1">
        <v>10</v>
      </c>
      <c r="AC4" s="4">
        <f>IF('Rhaniad y Ddeiliadaeth (Cymru)'!$D$18="Data Cofrestrfa Tir",'Prisiau Tai (Cymru)'!D4,'Prisiau Tai (Cymru)'!V4)</f>
        <v>79187.230067568278</v>
      </c>
      <c r="AD4" s="4">
        <f>IF('Rhaniad y Ddeiliadaeth (Cymru)'!$D$18="Data Cofrestrfa Tir",'Prisiau Tai (Cymru)'!E4,'Prisiau Tai (Cymru)'!W4)</f>
        <v>79363.544770190711</v>
      </c>
      <c r="AE4" s="4">
        <f>IF('Rhaniad y Ddeiliadaeth (Cymru)'!$D$18="Data Cofrestrfa Tir",'Prisiau Tai (Cymru)'!F4,'Prisiau Tai (Cymru)'!X4)</f>
        <v>81071.795868230634</v>
      </c>
      <c r="AF4" s="4">
        <f>IF('Rhaniad y Ddeiliadaeth (Cymru)'!$D$18="Data Cofrestrfa Tir",'Prisiau Tai (Cymru)'!G4,'Prisiau Tai (Cymru)'!Y4)</f>
        <v>84233.528497600957</v>
      </c>
      <c r="AG4" s="4">
        <f>IF('Rhaniad y Ddeiliadaeth (Cymru)'!$D$18="Data Cofrestrfa Tir",'Prisiau Tai (Cymru)'!H4,'Prisiau Tai (Cymru)'!Z4)</f>
        <v>87727.528849710958</v>
      </c>
    </row>
    <row r="5" spans="2:33" x14ac:dyDescent="0.25">
      <c r="B5" s="20">
        <v>11</v>
      </c>
      <c r="C5" s="56">
        <v>79950</v>
      </c>
      <c r="D5" s="57">
        <f>C5*(1+'Rhaniad y Ddeiliadaeth (Cymru)'!C$118)</f>
        <v>82221.026544182896</v>
      </c>
      <c r="E5" s="57">
        <f>D5*(1+'Rhaniad y Ddeiliadaeth (Cymru)'!D$118)</f>
        <v>82404.096160736968</v>
      </c>
      <c r="F5" s="57">
        <f>E5*(1+'Rhaniad y Ddeiliadaeth (Cymru)'!E$118)</f>
        <v>84177.793242403102</v>
      </c>
      <c r="G5" s="57">
        <f>F5*(1+'Rhaniad y Ddeiliadaeth (Cymru)'!F$118)</f>
        <v>87460.65718679475</v>
      </c>
      <c r="H5" s="58">
        <f>G5*(1+'Rhaniad y Ddeiliadaeth (Cymru)'!G$118)</f>
        <v>91088.518591355722</v>
      </c>
      <c r="J5" s="68" t="str">
        <f>IF(J4="","","Dim ond data ar gyfer un flwyddyn sydd angen i chi ychwanegu (unai 2017 neu 2018)")</f>
        <v/>
      </c>
      <c r="L5" s="62" t="str">
        <f t="shared" si="0"/>
        <v/>
      </c>
      <c r="M5" s="239"/>
      <c r="N5" s="14">
        <f t="shared" ref="N5:N68" si="3">IF(ISBLANK(M5),1,0)</f>
        <v>1</v>
      </c>
      <c r="T5" s="1">
        <f t="shared" si="1"/>
        <v>11</v>
      </c>
      <c r="U5" s="4" t="str">
        <f t="shared" si="2"/>
        <v/>
      </c>
      <c r="V5" s="4" t="e">
        <f>IF($V$3=$M$3,M5,U5*(1+'Rhaniad y Ddeiliadaeth (Cymru)'!C$118))</f>
        <v>#VALUE!</v>
      </c>
      <c r="W5" s="4" t="e">
        <f>V5*(1+'Rhaniad y Ddeiliadaeth (Cymru)'!D$118)</f>
        <v>#VALUE!</v>
      </c>
      <c r="X5" s="4" t="e">
        <f>W5*(1+'Rhaniad y Ddeiliadaeth (Cymru)'!E$118)</f>
        <v>#VALUE!</v>
      </c>
      <c r="Y5" s="4" t="e">
        <f>X5*(1+'Rhaniad y Ddeiliadaeth (Cymru)'!F$118)</f>
        <v>#VALUE!</v>
      </c>
      <c r="Z5" s="4" t="e">
        <f>Y5*(1+'Rhaniad y Ddeiliadaeth (Cymru)'!G$118)</f>
        <v>#VALUE!</v>
      </c>
      <c r="AB5" s="1">
        <v>11</v>
      </c>
      <c r="AC5" s="4">
        <f>IF('Rhaniad y Ddeiliadaeth (Cymru)'!$D$18="Data Cofrestrfa Tir",'Prisiau Tai (Cymru)'!D5,'Prisiau Tai (Cymru)'!V5)</f>
        <v>82221.026544182896</v>
      </c>
      <c r="AD5" s="4">
        <f>IF('Rhaniad y Ddeiliadaeth (Cymru)'!$D$18="Data Cofrestrfa Tir",'Prisiau Tai (Cymru)'!E5,'Prisiau Tai (Cymru)'!W5)</f>
        <v>82404.096160736968</v>
      </c>
      <c r="AE5" s="4">
        <f>IF('Rhaniad y Ddeiliadaeth (Cymru)'!$D$18="Data Cofrestrfa Tir",'Prisiau Tai (Cymru)'!F5,'Prisiau Tai (Cymru)'!X5)</f>
        <v>84177.793242403102</v>
      </c>
      <c r="AF5" s="4">
        <f>IF('Rhaniad y Ddeiliadaeth (Cymru)'!$D$18="Data Cofrestrfa Tir",'Prisiau Tai (Cymru)'!G5,'Prisiau Tai (Cymru)'!Y5)</f>
        <v>87460.65718679475</v>
      </c>
      <c r="AG5" s="4">
        <f>IF('Rhaniad y Ddeiliadaeth (Cymru)'!$D$18="Data Cofrestrfa Tir",'Prisiau Tai (Cymru)'!H5,'Prisiau Tai (Cymru)'!Z5)</f>
        <v>91088.518591355722</v>
      </c>
    </row>
    <row r="6" spans="2:33" x14ac:dyDescent="0.25">
      <c r="B6" s="20">
        <v>12</v>
      </c>
      <c r="C6" s="56">
        <v>80000</v>
      </c>
      <c r="D6" s="57">
        <f>C6*(1+'Rhaniad y Ddeiliadaeth (Cymru)'!C$118)</f>
        <v>82272.44682344755</v>
      </c>
      <c r="E6" s="57">
        <f>D6*(1+'Rhaniad y Ddeiliadaeth (Cymru)'!D$118)</f>
        <v>82455.630930068262</v>
      </c>
      <c r="F6" s="57">
        <f>E6*(1+'Rhaniad y Ddeiliadaeth (Cymru)'!E$118)</f>
        <v>84230.437265694156</v>
      </c>
      <c r="G6" s="57">
        <f>F6*(1+'Rhaniad y Ddeiliadaeth (Cymru)'!F$118)</f>
        <v>87515.354283221764</v>
      </c>
      <c r="H6" s="58">
        <f>G6*(1+'Rhaniad y Ddeiliadaeth (Cymru)'!G$118)</f>
        <v>91145.484519180216</v>
      </c>
      <c r="L6" s="62" t="str">
        <f t="shared" si="0"/>
        <v/>
      </c>
      <c r="M6" s="239"/>
      <c r="N6" s="14">
        <f t="shared" si="3"/>
        <v>1</v>
      </c>
      <c r="T6" s="1">
        <f t="shared" si="1"/>
        <v>12</v>
      </c>
      <c r="U6" s="4" t="str">
        <f t="shared" si="2"/>
        <v/>
      </c>
      <c r="V6" s="4" t="e">
        <f>IF($V$3=$M$3,M6,U6*(1+'Rhaniad y Ddeiliadaeth (Cymru)'!C$118))</f>
        <v>#VALUE!</v>
      </c>
      <c r="W6" s="4" t="e">
        <f>V6*(1+'Rhaniad y Ddeiliadaeth (Cymru)'!D$118)</f>
        <v>#VALUE!</v>
      </c>
      <c r="X6" s="4" t="e">
        <f>W6*(1+'Rhaniad y Ddeiliadaeth (Cymru)'!E$118)</f>
        <v>#VALUE!</v>
      </c>
      <c r="Y6" s="4" t="e">
        <f>X6*(1+'Rhaniad y Ddeiliadaeth (Cymru)'!F$118)</f>
        <v>#VALUE!</v>
      </c>
      <c r="Z6" s="4" t="e">
        <f>Y6*(1+'Rhaniad y Ddeiliadaeth (Cymru)'!G$118)</f>
        <v>#VALUE!</v>
      </c>
      <c r="AB6" s="1">
        <v>12</v>
      </c>
      <c r="AC6" s="4">
        <f>IF('Rhaniad y Ddeiliadaeth (Cymru)'!$D$18="Data Cofrestrfa Tir",'Prisiau Tai (Cymru)'!D6,'Prisiau Tai (Cymru)'!V6)</f>
        <v>82272.44682344755</v>
      </c>
      <c r="AD6" s="4">
        <f>IF('Rhaniad y Ddeiliadaeth (Cymru)'!$D$18="Data Cofrestrfa Tir",'Prisiau Tai (Cymru)'!E6,'Prisiau Tai (Cymru)'!W6)</f>
        <v>82455.630930068262</v>
      </c>
      <c r="AE6" s="4">
        <f>IF('Rhaniad y Ddeiliadaeth (Cymru)'!$D$18="Data Cofrestrfa Tir",'Prisiau Tai (Cymru)'!F6,'Prisiau Tai (Cymru)'!X6)</f>
        <v>84230.437265694156</v>
      </c>
      <c r="AF6" s="4">
        <f>IF('Rhaniad y Ddeiliadaeth (Cymru)'!$D$18="Data Cofrestrfa Tir",'Prisiau Tai (Cymru)'!G6,'Prisiau Tai (Cymru)'!Y6)</f>
        <v>87515.354283221764</v>
      </c>
      <c r="AG6" s="4">
        <f>IF('Rhaniad y Ddeiliadaeth (Cymru)'!$D$18="Data Cofrestrfa Tir",'Prisiau Tai (Cymru)'!H6,'Prisiau Tai (Cymru)'!Z6)</f>
        <v>91145.484519180216</v>
      </c>
    </row>
    <row r="7" spans="2:33" x14ac:dyDescent="0.25">
      <c r="B7" s="20">
        <v>13</v>
      </c>
      <c r="C7" s="56">
        <v>83000</v>
      </c>
      <c r="D7" s="57">
        <f>C7*(1+'Rhaniad y Ddeiliadaeth (Cymru)'!C$118)</f>
        <v>85357.663579326836</v>
      </c>
      <c r="E7" s="57">
        <f>D7*(1+'Rhaniad y Ddeiliadaeth (Cymru)'!D$118)</f>
        <v>85547.717089945829</v>
      </c>
      <c r="F7" s="57">
        <f>E7*(1+'Rhaniad y Ddeiliadaeth (Cymru)'!E$118)</f>
        <v>87389.078663157707</v>
      </c>
      <c r="G7" s="57">
        <f>F7*(1+'Rhaniad y Ddeiliadaeth (Cymru)'!F$118)</f>
        <v>90797.180068842601</v>
      </c>
      <c r="H7" s="58">
        <f>G7*(1+'Rhaniad y Ddeiliadaeth (Cymru)'!G$118)</f>
        <v>94563.440188649489</v>
      </c>
      <c r="J7" s="11" t="str">
        <f>IF(J4="","",IF(N85=1,"Mewnbwn y defnyddiwr yn anghyflawn",IF(N85=0,"Mewnbwn y defnyddiwr yn gyflawn","")))</f>
        <v/>
      </c>
      <c r="L7" s="62" t="str">
        <f t="shared" si="0"/>
        <v/>
      </c>
      <c r="M7" s="239"/>
      <c r="N7" s="14">
        <f t="shared" si="3"/>
        <v>1</v>
      </c>
      <c r="T7" s="1">
        <f t="shared" si="1"/>
        <v>13</v>
      </c>
      <c r="U7" s="4" t="str">
        <f t="shared" si="2"/>
        <v/>
      </c>
      <c r="V7" s="4" t="e">
        <f>IF($V$3=$M$3,M7,U7*(1+'Rhaniad y Ddeiliadaeth (Cymru)'!C$118))</f>
        <v>#VALUE!</v>
      </c>
      <c r="W7" s="4" t="e">
        <f>V7*(1+'Rhaniad y Ddeiliadaeth (Cymru)'!D$118)</f>
        <v>#VALUE!</v>
      </c>
      <c r="X7" s="4" t="e">
        <f>W7*(1+'Rhaniad y Ddeiliadaeth (Cymru)'!E$118)</f>
        <v>#VALUE!</v>
      </c>
      <c r="Y7" s="4" t="e">
        <f>X7*(1+'Rhaniad y Ddeiliadaeth (Cymru)'!F$118)</f>
        <v>#VALUE!</v>
      </c>
      <c r="Z7" s="4" t="e">
        <f>Y7*(1+'Rhaniad y Ddeiliadaeth (Cymru)'!G$118)</f>
        <v>#VALUE!</v>
      </c>
      <c r="AB7" s="1">
        <v>13</v>
      </c>
      <c r="AC7" s="4">
        <f>IF('Rhaniad y Ddeiliadaeth (Cymru)'!$D$18="Data Cofrestrfa Tir",'Prisiau Tai (Cymru)'!D7,'Prisiau Tai (Cymru)'!V7)</f>
        <v>85357.663579326836</v>
      </c>
      <c r="AD7" s="4">
        <f>IF('Rhaniad y Ddeiliadaeth (Cymru)'!$D$18="Data Cofrestrfa Tir",'Prisiau Tai (Cymru)'!E7,'Prisiau Tai (Cymru)'!W7)</f>
        <v>85547.717089945829</v>
      </c>
      <c r="AE7" s="4">
        <f>IF('Rhaniad y Ddeiliadaeth (Cymru)'!$D$18="Data Cofrestrfa Tir",'Prisiau Tai (Cymru)'!F7,'Prisiau Tai (Cymru)'!X7)</f>
        <v>87389.078663157707</v>
      </c>
      <c r="AF7" s="4">
        <f>IF('Rhaniad y Ddeiliadaeth (Cymru)'!$D$18="Data Cofrestrfa Tir",'Prisiau Tai (Cymru)'!G7,'Prisiau Tai (Cymru)'!Y7)</f>
        <v>90797.180068842601</v>
      </c>
      <c r="AG7" s="4">
        <f>IF('Rhaniad y Ddeiliadaeth (Cymru)'!$D$18="Data Cofrestrfa Tir",'Prisiau Tai (Cymru)'!H7,'Prisiau Tai (Cymru)'!Z7)</f>
        <v>94563.440188649489</v>
      </c>
    </row>
    <row r="8" spans="2:33" x14ac:dyDescent="0.25">
      <c r="B8" s="20">
        <v>14</v>
      </c>
      <c r="C8" s="56">
        <v>85000</v>
      </c>
      <c r="D8" s="57">
        <f>C8*(1+'Rhaniad y Ddeiliadaeth (Cymru)'!C$118)</f>
        <v>87414.474749913032</v>
      </c>
      <c r="E8" s="57">
        <f>D8*(1+'Rhaniad y Ddeiliadaeth (Cymru)'!D$118)</f>
        <v>87609.10786319754</v>
      </c>
      <c r="F8" s="57">
        <f>E8*(1+'Rhaniad y Ddeiliadaeth (Cymru)'!E$118)</f>
        <v>89494.839594800054</v>
      </c>
      <c r="G8" s="57">
        <f>F8*(1+'Rhaniad y Ddeiliadaeth (Cymru)'!F$118)</f>
        <v>92985.063925923139</v>
      </c>
      <c r="H8" s="58">
        <f>G8*(1+'Rhaniad y Ddeiliadaeth (Cymru)'!G$118)</f>
        <v>96842.07730162899</v>
      </c>
      <c r="L8" s="62" t="str">
        <f t="shared" si="0"/>
        <v/>
      </c>
      <c r="M8" s="239"/>
      <c r="N8" s="14">
        <f t="shared" si="3"/>
        <v>1</v>
      </c>
      <c r="T8" s="1">
        <f t="shared" si="1"/>
        <v>14</v>
      </c>
      <c r="U8" s="4" t="str">
        <f t="shared" si="2"/>
        <v/>
      </c>
      <c r="V8" s="4" t="e">
        <f>IF($V$3=$M$3,M8,U8*(1+'Rhaniad y Ddeiliadaeth (Cymru)'!C$118))</f>
        <v>#VALUE!</v>
      </c>
      <c r="W8" s="4" t="e">
        <f>V8*(1+'Rhaniad y Ddeiliadaeth (Cymru)'!D$118)</f>
        <v>#VALUE!</v>
      </c>
      <c r="X8" s="4" t="e">
        <f>W8*(1+'Rhaniad y Ddeiliadaeth (Cymru)'!E$118)</f>
        <v>#VALUE!</v>
      </c>
      <c r="Y8" s="4" t="e">
        <f>X8*(1+'Rhaniad y Ddeiliadaeth (Cymru)'!F$118)</f>
        <v>#VALUE!</v>
      </c>
      <c r="Z8" s="4" t="e">
        <f>Y8*(1+'Rhaniad y Ddeiliadaeth (Cymru)'!G$118)</f>
        <v>#VALUE!</v>
      </c>
      <c r="AB8" s="1">
        <v>14</v>
      </c>
      <c r="AC8" s="4">
        <f>IF('Rhaniad y Ddeiliadaeth (Cymru)'!$D$18="Data Cofrestrfa Tir",'Prisiau Tai (Cymru)'!D8,'Prisiau Tai (Cymru)'!V8)</f>
        <v>87414.474749913032</v>
      </c>
      <c r="AD8" s="4">
        <f>IF('Rhaniad y Ddeiliadaeth (Cymru)'!$D$18="Data Cofrestrfa Tir",'Prisiau Tai (Cymru)'!E8,'Prisiau Tai (Cymru)'!W8)</f>
        <v>87609.10786319754</v>
      </c>
      <c r="AE8" s="4">
        <f>IF('Rhaniad y Ddeiliadaeth (Cymru)'!$D$18="Data Cofrestrfa Tir",'Prisiau Tai (Cymru)'!F8,'Prisiau Tai (Cymru)'!X8)</f>
        <v>89494.839594800054</v>
      </c>
      <c r="AF8" s="4">
        <f>IF('Rhaniad y Ddeiliadaeth (Cymru)'!$D$18="Data Cofrestrfa Tir",'Prisiau Tai (Cymru)'!G8,'Prisiau Tai (Cymru)'!Y8)</f>
        <v>92985.063925923139</v>
      </c>
      <c r="AG8" s="4">
        <f>IF('Rhaniad y Ddeiliadaeth (Cymru)'!$D$18="Data Cofrestrfa Tir",'Prisiau Tai (Cymru)'!H8,'Prisiau Tai (Cymru)'!Z8)</f>
        <v>96842.07730162899</v>
      </c>
    </row>
    <row r="9" spans="2:33" x14ac:dyDescent="0.25">
      <c r="B9" s="20">
        <v>15</v>
      </c>
      <c r="C9" s="56">
        <v>87000</v>
      </c>
      <c r="D9" s="57">
        <f>C9*(1+'Rhaniad y Ddeiliadaeth (Cymru)'!C$118)</f>
        <v>89471.285920499213</v>
      </c>
      <c r="E9" s="57">
        <f>D9*(1+'Rhaniad y Ddeiliadaeth (Cymru)'!D$118)</f>
        <v>89670.498636449236</v>
      </c>
      <c r="F9" s="57">
        <f>E9*(1+'Rhaniad y Ddeiliadaeth (Cymru)'!E$118)</f>
        <v>91600.600526442402</v>
      </c>
      <c r="G9" s="57">
        <f>F9*(1+'Rhaniad y Ddeiliadaeth (Cymru)'!F$118)</f>
        <v>95172.947783003678</v>
      </c>
      <c r="H9" s="58">
        <f>G9*(1+'Rhaniad y Ddeiliadaeth (Cymru)'!G$118)</f>
        <v>99120.71441460849</v>
      </c>
      <c r="J9" s="420" t="str">
        <f>IF(J4="","Os hoffech ddefnyddio data eich hunain ar gyfer dosbarthiad prisiau tai, newidwch eich dewislen.","")</f>
        <v>Os hoffech ddefnyddio data eich hunain ar gyfer dosbarthiad prisiau tai, newidwch eich dewislen.</v>
      </c>
      <c r="L9" s="62" t="str">
        <f t="shared" si="0"/>
        <v/>
      </c>
      <c r="M9" s="239"/>
      <c r="N9" s="14">
        <f t="shared" si="3"/>
        <v>1</v>
      </c>
      <c r="T9" s="1">
        <f t="shared" si="1"/>
        <v>15</v>
      </c>
      <c r="U9" s="4" t="str">
        <f t="shared" si="2"/>
        <v/>
      </c>
      <c r="V9" s="4" t="e">
        <f>IF($V$3=$M$3,M9,U9*(1+'Rhaniad y Ddeiliadaeth (Cymru)'!C$118))</f>
        <v>#VALUE!</v>
      </c>
      <c r="W9" s="4" t="e">
        <f>V9*(1+'Rhaniad y Ddeiliadaeth (Cymru)'!D$118)</f>
        <v>#VALUE!</v>
      </c>
      <c r="X9" s="4" t="e">
        <f>W9*(1+'Rhaniad y Ddeiliadaeth (Cymru)'!E$118)</f>
        <v>#VALUE!</v>
      </c>
      <c r="Y9" s="4" t="e">
        <f>X9*(1+'Rhaniad y Ddeiliadaeth (Cymru)'!F$118)</f>
        <v>#VALUE!</v>
      </c>
      <c r="Z9" s="4" t="e">
        <f>Y9*(1+'Rhaniad y Ddeiliadaeth (Cymru)'!G$118)</f>
        <v>#VALUE!</v>
      </c>
      <c r="AB9" s="1">
        <v>15</v>
      </c>
      <c r="AC9" s="4">
        <f>IF('Rhaniad y Ddeiliadaeth (Cymru)'!$D$18="Data Cofrestrfa Tir",'Prisiau Tai (Cymru)'!D9,'Prisiau Tai (Cymru)'!V9)</f>
        <v>89471.285920499213</v>
      </c>
      <c r="AD9" s="4">
        <f>IF('Rhaniad y Ddeiliadaeth (Cymru)'!$D$18="Data Cofrestrfa Tir",'Prisiau Tai (Cymru)'!E9,'Prisiau Tai (Cymru)'!W9)</f>
        <v>89670.498636449236</v>
      </c>
      <c r="AE9" s="4">
        <f>IF('Rhaniad y Ddeiliadaeth (Cymru)'!$D$18="Data Cofrestrfa Tir",'Prisiau Tai (Cymru)'!F9,'Prisiau Tai (Cymru)'!X9)</f>
        <v>91600.600526442402</v>
      </c>
      <c r="AF9" s="4">
        <f>IF('Rhaniad y Ddeiliadaeth (Cymru)'!$D$18="Data Cofrestrfa Tir",'Prisiau Tai (Cymru)'!G9,'Prisiau Tai (Cymru)'!Y9)</f>
        <v>95172.947783003678</v>
      </c>
      <c r="AG9" s="4">
        <f>IF('Rhaniad y Ddeiliadaeth (Cymru)'!$D$18="Data Cofrestrfa Tir",'Prisiau Tai (Cymru)'!H9,'Prisiau Tai (Cymru)'!Z9)</f>
        <v>99120.71441460849</v>
      </c>
    </row>
    <row r="10" spans="2:33" x14ac:dyDescent="0.25">
      <c r="B10" s="20">
        <v>16</v>
      </c>
      <c r="C10" s="56">
        <v>90000</v>
      </c>
      <c r="D10" s="57">
        <f>C10*(1+'Rhaniad y Ddeiliadaeth (Cymru)'!C$118)</f>
        <v>92556.502676378499</v>
      </c>
      <c r="E10" s="57">
        <f>D10*(1+'Rhaniad y Ddeiliadaeth (Cymru)'!D$118)</f>
        <v>92762.584796326802</v>
      </c>
      <c r="F10" s="57">
        <f>E10*(1+'Rhaniad y Ddeiliadaeth (Cymru)'!E$118)</f>
        <v>94759.241923905938</v>
      </c>
      <c r="G10" s="57">
        <f>F10*(1+'Rhaniad y Ddeiliadaeth (Cymru)'!F$118)</f>
        <v>98454.773568624485</v>
      </c>
      <c r="H10" s="58">
        <f>G10*(1+'Rhaniad y Ddeiliadaeth (Cymru)'!G$118)</f>
        <v>102538.67008407773</v>
      </c>
      <c r="J10" s="420"/>
      <c r="L10" s="62" t="str">
        <f t="shared" si="0"/>
        <v/>
      </c>
      <c r="M10" s="239"/>
      <c r="N10" s="14">
        <f t="shared" si="3"/>
        <v>1</v>
      </c>
      <c r="T10" s="1">
        <f t="shared" si="1"/>
        <v>16</v>
      </c>
      <c r="U10" s="4" t="str">
        <f t="shared" si="2"/>
        <v/>
      </c>
      <c r="V10" s="4" t="e">
        <f>IF($V$3=$M$3,M10,U10*(1+'Rhaniad y Ddeiliadaeth (Cymru)'!C$118))</f>
        <v>#VALUE!</v>
      </c>
      <c r="W10" s="4" t="e">
        <f>V10*(1+'Rhaniad y Ddeiliadaeth (Cymru)'!D$118)</f>
        <v>#VALUE!</v>
      </c>
      <c r="X10" s="4" t="e">
        <f>W10*(1+'Rhaniad y Ddeiliadaeth (Cymru)'!E$118)</f>
        <v>#VALUE!</v>
      </c>
      <c r="Y10" s="4" t="e">
        <f>X10*(1+'Rhaniad y Ddeiliadaeth (Cymru)'!F$118)</f>
        <v>#VALUE!</v>
      </c>
      <c r="Z10" s="4" t="e">
        <f>Y10*(1+'Rhaniad y Ddeiliadaeth (Cymru)'!G$118)</f>
        <v>#VALUE!</v>
      </c>
      <c r="AB10" s="1">
        <v>16</v>
      </c>
      <c r="AC10" s="4">
        <f>IF('Rhaniad y Ddeiliadaeth (Cymru)'!$D$18="Data Cofrestrfa Tir",'Prisiau Tai (Cymru)'!D10,'Prisiau Tai (Cymru)'!V10)</f>
        <v>92556.502676378499</v>
      </c>
      <c r="AD10" s="4">
        <f>IF('Rhaniad y Ddeiliadaeth (Cymru)'!$D$18="Data Cofrestrfa Tir",'Prisiau Tai (Cymru)'!E10,'Prisiau Tai (Cymru)'!W10)</f>
        <v>92762.584796326802</v>
      </c>
      <c r="AE10" s="4">
        <f>IF('Rhaniad y Ddeiliadaeth (Cymru)'!$D$18="Data Cofrestrfa Tir",'Prisiau Tai (Cymru)'!F10,'Prisiau Tai (Cymru)'!X10)</f>
        <v>94759.241923905938</v>
      </c>
      <c r="AF10" s="4">
        <f>IF('Rhaniad y Ddeiliadaeth (Cymru)'!$D$18="Data Cofrestrfa Tir",'Prisiau Tai (Cymru)'!G10,'Prisiau Tai (Cymru)'!Y10)</f>
        <v>98454.773568624485</v>
      </c>
      <c r="AG10" s="4">
        <f>IF('Rhaniad y Ddeiliadaeth (Cymru)'!$D$18="Data Cofrestrfa Tir",'Prisiau Tai (Cymru)'!H10,'Prisiau Tai (Cymru)'!Z10)</f>
        <v>102538.67008407773</v>
      </c>
    </row>
    <row r="11" spans="2:33" x14ac:dyDescent="0.25">
      <c r="B11" s="20">
        <v>17</v>
      </c>
      <c r="C11" s="56">
        <v>91000</v>
      </c>
      <c r="D11" s="57">
        <f>C11*(1+'Rhaniad y Ddeiliadaeth (Cymru)'!C$118)</f>
        <v>93584.90826167159</v>
      </c>
      <c r="E11" s="57">
        <f>D11*(1+'Rhaniad y Ddeiliadaeth (Cymru)'!D$118)</f>
        <v>93793.280182952658</v>
      </c>
      <c r="F11" s="57">
        <f>E11*(1+'Rhaniad y Ddeiliadaeth (Cymru)'!E$118)</f>
        <v>95812.122389727127</v>
      </c>
      <c r="G11" s="57">
        <f>F11*(1+'Rhaniad y Ddeiliadaeth (Cymru)'!F$118)</f>
        <v>99548.715497164783</v>
      </c>
      <c r="H11" s="58">
        <f>G11*(1+'Rhaniad y Ddeiliadaeth (Cymru)'!G$118)</f>
        <v>103677.98864056752</v>
      </c>
      <c r="L11" s="62" t="str">
        <f t="shared" si="0"/>
        <v/>
      </c>
      <c r="M11" s="239"/>
      <c r="N11" s="14">
        <f t="shared" si="3"/>
        <v>1</v>
      </c>
      <c r="T11" s="1">
        <f t="shared" si="1"/>
        <v>17</v>
      </c>
      <c r="U11" s="4" t="str">
        <f t="shared" si="2"/>
        <v/>
      </c>
      <c r="V11" s="4" t="e">
        <f>IF($V$3=$M$3,M11,U11*(1+'Rhaniad y Ddeiliadaeth (Cymru)'!C$118))</f>
        <v>#VALUE!</v>
      </c>
      <c r="W11" s="4" t="e">
        <f>V11*(1+'Rhaniad y Ddeiliadaeth (Cymru)'!D$118)</f>
        <v>#VALUE!</v>
      </c>
      <c r="X11" s="4" t="e">
        <f>W11*(1+'Rhaniad y Ddeiliadaeth (Cymru)'!E$118)</f>
        <v>#VALUE!</v>
      </c>
      <c r="Y11" s="4" t="e">
        <f>X11*(1+'Rhaniad y Ddeiliadaeth (Cymru)'!F$118)</f>
        <v>#VALUE!</v>
      </c>
      <c r="Z11" s="4" t="e">
        <f>Y11*(1+'Rhaniad y Ddeiliadaeth (Cymru)'!G$118)</f>
        <v>#VALUE!</v>
      </c>
      <c r="AB11" s="1">
        <v>17</v>
      </c>
      <c r="AC11" s="4">
        <f>IF('Rhaniad y Ddeiliadaeth (Cymru)'!$D$18="Data Cofrestrfa Tir",'Prisiau Tai (Cymru)'!D11,'Prisiau Tai (Cymru)'!V11)</f>
        <v>93584.90826167159</v>
      </c>
      <c r="AD11" s="4">
        <f>IF('Rhaniad y Ddeiliadaeth (Cymru)'!$D$18="Data Cofrestrfa Tir",'Prisiau Tai (Cymru)'!E11,'Prisiau Tai (Cymru)'!W11)</f>
        <v>93793.280182952658</v>
      </c>
      <c r="AE11" s="4">
        <f>IF('Rhaniad y Ddeiliadaeth (Cymru)'!$D$18="Data Cofrestrfa Tir",'Prisiau Tai (Cymru)'!F11,'Prisiau Tai (Cymru)'!X11)</f>
        <v>95812.122389727127</v>
      </c>
      <c r="AF11" s="4">
        <f>IF('Rhaniad y Ddeiliadaeth (Cymru)'!$D$18="Data Cofrestrfa Tir",'Prisiau Tai (Cymru)'!G11,'Prisiau Tai (Cymru)'!Y11)</f>
        <v>99548.715497164783</v>
      </c>
      <c r="AG11" s="4">
        <f>IF('Rhaniad y Ddeiliadaeth (Cymru)'!$D$18="Data Cofrestrfa Tir",'Prisiau Tai (Cymru)'!H11,'Prisiau Tai (Cymru)'!Z11)</f>
        <v>103677.98864056752</v>
      </c>
    </row>
    <row r="12" spans="2:33" x14ac:dyDescent="0.25">
      <c r="B12" s="20">
        <v>18</v>
      </c>
      <c r="C12" s="56">
        <v>94000</v>
      </c>
      <c r="D12" s="57">
        <f>C12*(1+'Rhaniad y Ddeiliadaeth (Cymru)'!C$118)</f>
        <v>96670.125017550876</v>
      </c>
      <c r="E12" s="57">
        <f>D12*(1+'Rhaniad y Ddeiliadaeth (Cymru)'!D$118)</f>
        <v>96885.36634283021</v>
      </c>
      <c r="F12" s="57">
        <f>E12*(1+'Rhaniad y Ddeiliadaeth (Cymru)'!E$118)</f>
        <v>98970.763787190648</v>
      </c>
      <c r="G12" s="57">
        <f>F12*(1+'Rhaniad y Ddeiliadaeth (Cymru)'!F$118)</f>
        <v>102830.54128278558</v>
      </c>
      <c r="H12" s="58">
        <f>G12*(1+'Rhaniad y Ddeiliadaeth (Cymru)'!G$118)</f>
        <v>107095.94431003675</v>
      </c>
      <c r="L12" s="62" t="str">
        <f t="shared" si="0"/>
        <v/>
      </c>
      <c r="M12" s="239"/>
      <c r="N12" s="14">
        <f t="shared" si="3"/>
        <v>1</v>
      </c>
      <c r="T12" s="1">
        <f t="shared" si="1"/>
        <v>18</v>
      </c>
      <c r="U12" s="4" t="str">
        <f t="shared" si="2"/>
        <v/>
      </c>
      <c r="V12" s="4" t="e">
        <f>IF($V$3=$M$3,M12,U12*(1+'Rhaniad y Ddeiliadaeth (Cymru)'!C$118))</f>
        <v>#VALUE!</v>
      </c>
      <c r="W12" s="4" t="e">
        <f>V12*(1+'Rhaniad y Ddeiliadaeth (Cymru)'!D$118)</f>
        <v>#VALUE!</v>
      </c>
      <c r="X12" s="4" t="e">
        <f>W12*(1+'Rhaniad y Ddeiliadaeth (Cymru)'!E$118)</f>
        <v>#VALUE!</v>
      </c>
      <c r="Y12" s="4" t="e">
        <f>X12*(1+'Rhaniad y Ddeiliadaeth (Cymru)'!F$118)</f>
        <v>#VALUE!</v>
      </c>
      <c r="Z12" s="4" t="e">
        <f>Y12*(1+'Rhaniad y Ddeiliadaeth (Cymru)'!G$118)</f>
        <v>#VALUE!</v>
      </c>
      <c r="AB12" s="1">
        <v>18</v>
      </c>
      <c r="AC12" s="4">
        <f>IF('Rhaniad y Ddeiliadaeth (Cymru)'!$D$18="Data Cofrestrfa Tir",'Prisiau Tai (Cymru)'!D12,'Prisiau Tai (Cymru)'!V12)</f>
        <v>96670.125017550876</v>
      </c>
      <c r="AD12" s="4">
        <f>IF('Rhaniad y Ddeiliadaeth (Cymru)'!$D$18="Data Cofrestrfa Tir",'Prisiau Tai (Cymru)'!E12,'Prisiau Tai (Cymru)'!W12)</f>
        <v>96885.36634283021</v>
      </c>
      <c r="AE12" s="4">
        <f>IF('Rhaniad y Ddeiliadaeth (Cymru)'!$D$18="Data Cofrestrfa Tir",'Prisiau Tai (Cymru)'!F12,'Prisiau Tai (Cymru)'!X12)</f>
        <v>98970.763787190648</v>
      </c>
      <c r="AF12" s="4">
        <f>IF('Rhaniad y Ddeiliadaeth (Cymru)'!$D$18="Data Cofrestrfa Tir",'Prisiau Tai (Cymru)'!G12,'Prisiau Tai (Cymru)'!Y12)</f>
        <v>102830.54128278558</v>
      </c>
      <c r="AG12" s="4">
        <f>IF('Rhaniad y Ddeiliadaeth (Cymru)'!$D$18="Data Cofrestrfa Tir",'Prisiau Tai (Cymru)'!H12,'Prisiau Tai (Cymru)'!Z12)</f>
        <v>107095.94431003675</v>
      </c>
    </row>
    <row r="13" spans="2:33" x14ac:dyDescent="0.25">
      <c r="B13" s="20">
        <v>19</v>
      </c>
      <c r="C13" s="56">
        <v>95000</v>
      </c>
      <c r="D13" s="57">
        <f>C13*(1+'Rhaniad y Ddeiliadaeth (Cymru)'!C$118)</f>
        <v>97698.530602843966</v>
      </c>
      <c r="E13" s="57">
        <f>D13*(1+'Rhaniad y Ddeiliadaeth (Cymru)'!D$118)</f>
        <v>97916.061729456065</v>
      </c>
      <c r="F13" s="57">
        <f>E13*(1+'Rhaniad y Ddeiliadaeth (Cymru)'!E$118)</f>
        <v>100023.64425301182</v>
      </c>
      <c r="G13" s="57">
        <f>F13*(1+'Rhaniad y Ddeiliadaeth (Cymru)'!F$118)</f>
        <v>103924.48321132585</v>
      </c>
      <c r="H13" s="58">
        <f>G13*(1+'Rhaniad y Ddeiliadaeth (Cymru)'!G$118)</f>
        <v>108235.26286652649</v>
      </c>
      <c r="L13" s="62" t="str">
        <f t="shared" si="0"/>
        <v/>
      </c>
      <c r="M13" s="239"/>
      <c r="N13" s="14">
        <f t="shared" si="3"/>
        <v>1</v>
      </c>
      <c r="T13" s="1">
        <f t="shared" si="1"/>
        <v>19</v>
      </c>
      <c r="U13" s="4" t="str">
        <f t="shared" si="2"/>
        <v/>
      </c>
      <c r="V13" s="4" t="e">
        <f>IF($V$3=$M$3,M13,U13*(1+'Rhaniad y Ddeiliadaeth (Cymru)'!C$118))</f>
        <v>#VALUE!</v>
      </c>
      <c r="W13" s="4" t="e">
        <f>V13*(1+'Rhaniad y Ddeiliadaeth (Cymru)'!D$118)</f>
        <v>#VALUE!</v>
      </c>
      <c r="X13" s="4" t="e">
        <f>W13*(1+'Rhaniad y Ddeiliadaeth (Cymru)'!E$118)</f>
        <v>#VALUE!</v>
      </c>
      <c r="Y13" s="4" t="e">
        <f>X13*(1+'Rhaniad y Ddeiliadaeth (Cymru)'!F$118)</f>
        <v>#VALUE!</v>
      </c>
      <c r="Z13" s="4" t="e">
        <f>Y13*(1+'Rhaniad y Ddeiliadaeth (Cymru)'!G$118)</f>
        <v>#VALUE!</v>
      </c>
      <c r="AB13" s="1">
        <v>19</v>
      </c>
      <c r="AC13" s="4">
        <f>IF('Rhaniad y Ddeiliadaeth (Cymru)'!$D$18="Data Cofrestrfa Tir",'Prisiau Tai (Cymru)'!D13,'Prisiau Tai (Cymru)'!V13)</f>
        <v>97698.530602843966</v>
      </c>
      <c r="AD13" s="4">
        <f>IF('Rhaniad y Ddeiliadaeth (Cymru)'!$D$18="Data Cofrestrfa Tir",'Prisiau Tai (Cymru)'!E13,'Prisiau Tai (Cymru)'!W13)</f>
        <v>97916.061729456065</v>
      </c>
      <c r="AE13" s="4">
        <f>IF('Rhaniad y Ddeiliadaeth (Cymru)'!$D$18="Data Cofrestrfa Tir",'Prisiau Tai (Cymru)'!F13,'Prisiau Tai (Cymru)'!X13)</f>
        <v>100023.64425301182</v>
      </c>
      <c r="AF13" s="4">
        <f>IF('Rhaniad y Ddeiliadaeth (Cymru)'!$D$18="Data Cofrestrfa Tir",'Prisiau Tai (Cymru)'!G13,'Prisiau Tai (Cymru)'!Y13)</f>
        <v>103924.48321132585</v>
      </c>
      <c r="AG13" s="4">
        <f>IF('Rhaniad y Ddeiliadaeth (Cymru)'!$D$18="Data Cofrestrfa Tir",'Prisiau Tai (Cymru)'!H13,'Prisiau Tai (Cymru)'!Z13)</f>
        <v>108235.26286652649</v>
      </c>
    </row>
    <row r="14" spans="2:33" x14ac:dyDescent="0.25">
      <c r="B14" s="20">
        <v>20</v>
      </c>
      <c r="C14" s="56">
        <v>97500</v>
      </c>
      <c r="D14" s="57">
        <f>C14*(1+'Rhaniad y Ddeiliadaeth (Cymru)'!C$118)</f>
        <v>100269.54456607671</v>
      </c>
      <c r="E14" s="57">
        <f>D14*(1+'Rhaniad y Ddeiliadaeth (Cymru)'!D$118)</f>
        <v>100492.80019602072</v>
      </c>
      <c r="F14" s="57">
        <f>E14*(1+'Rhaniad y Ddeiliadaeth (Cymru)'!E$118)</f>
        <v>102655.84541756478</v>
      </c>
      <c r="G14" s="57">
        <f>F14*(1+'Rhaniad y Ddeiliadaeth (Cymru)'!F$118)</f>
        <v>106659.33803267655</v>
      </c>
      <c r="H14" s="58">
        <f>G14*(1+'Rhaniad y Ddeiliadaeth (Cymru)'!G$118)</f>
        <v>111083.55925775091</v>
      </c>
      <c r="L14" s="62" t="str">
        <f t="shared" si="0"/>
        <v/>
      </c>
      <c r="M14" s="239"/>
      <c r="N14" s="14">
        <f t="shared" si="3"/>
        <v>1</v>
      </c>
      <c r="T14" s="1">
        <f t="shared" si="1"/>
        <v>20</v>
      </c>
      <c r="U14" s="4" t="str">
        <f t="shared" si="2"/>
        <v/>
      </c>
      <c r="V14" s="4" t="e">
        <f>IF($V$3=$M$3,M14,U14*(1+'Rhaniad y Ddeiliadaeth (Cymru)'!C$118))</f>
        <v>#VALUE!</v>
      </c>
      <c r="W14" s="4" t="e">
        <f>V14*(1+'Rhaniad y Ddeiliadaeth (Cymru)'!D$118)</f>
        <v>#VALUE!</v>
      </c>
      <c r="X14" s="4" t="e">
        <f>W14*(1+'Rhaniad y Ddeiliadaeth (Cymru)'!E$118)</f>
        <v>#VALUE!</v>
      </c>
      <c r="Y14" s="4" t="e">
        <f>X14*(1+'Rhaniad y Ddeiliadaeth (Cymru)'!F$118)</f>
        <v>#VALUE!</v>
      </c>
      <c r="Z14" s="4" t="e">
        <f>Y14*(1+'Rhaniad y Ddeiliadaeth (Cymru)'!G$118)</f>
        <v>#VALUE!</v>
      </c>
      <c r="AB14" s="1">
        <v>20</v>
      </c>
      <c r="AC14" s="4">
        <f>IF('Rhaniad y Ddeiliadaeth (Cymru)'!$D$18="Data Cofrestrfa Tir",'Prisiau Tai (Cymru)'!D14,'Prisiau Tai (Cymru)'!V14)</f>
        <v>100269.54456607671</v>
      </c>
      <c r="AD14" s="4">
        <f>IF('Rhaniad y Ddeiliadaeth (Cymru)'!$D$18="Data Cofrestrfa Tir",'Prisiau Tai (Cymru)'!E14,'Prisiau Tai (Cymru)'!W14)</f>
        <v>100492.80019602072</v>
      </c>
      <c r="AE14" s="4">
        <f>IF('Rhaniad y Ddeiliadaeth (Cymru)'!$D$18="Data Cofrestrfa Tir",'Prisiau Tai (Cymru)'!F14,'Prisiau Tai (Cymru)'!X14)</f>
        <v>102655.84541756478</v>
      </c>
      <c r="AF14" s="4">
        <f>IF('Rhaniad y Ddeiliadaeth (Cymru)'!$D$18="Data Cofrestrfa Tir",'Prisiau Tai (Cymru)'!G14,'Prisiau Tai (Cymru)'!Y14)</f>
        <v>106659.33803267655</v>
      </c>
      <c r="AG14" s="4">
        <f>IF('Rhaniad y Ddeiliadaeth (Cymru)'!$D$18="Data Cofrestrfa Tir",'Prisiau Tai (Cymru)'!H14,'Prisiau Tai (Cymru)'!Z14)</f>
        <v>111083.55925775091</v>
      </c>
    </row>
    <row r="15" spans="2:33" x14ac:dyDescent="0.25">
      <c r="B15" s="20">
        <v>21</v>
      </c>
      <c r="C15" s="56">
        <v>100000</v>
      </c>
      <c r="D15" s="57">
        <f>C15*(1+'Rhaniad y Ddeiliadaeth (Cymru)'!C$118)</f>
        <v>102840.55852930945</v>
      </c>
      <c r="E15" s="57">
        <f>D15*(1+'Rhaniad y Ddeiliadaeth (Cymru)'!D$118)</f>
        <v>103069.53866258534</v>
      </c>
      <c r="F15" s="57">
        <f>E15*(1+'Rhaniad y Ddeiliadaeth (Cymru)'!E$118)</f>
        <v>105288.04658211772</v>
      </c>
      <c r="G15" s="57">
        <f>F15*(1+'Rhaniad y Ddeiliadaeth (Cymru)'!F$118)</f>
        <v>109394.19285402722</v>
      </c>
      <c r="H15" s="58">
        <f>G15*(1+'Rhaniad y Ddeiliadaeth (Cymru)'!G$118)</f>
        <v>113931.85564897528</v>
      </c>
      <c r="L15" s="62" t="str">
        <f t="shared" si="0"/>
        <v/>
      </c>
      <c r="M15" s="239"/>
      <c r="N15" s="14">
        <f t="shared" si="3"/>
        <v>1</v>
      </c>
      <c r="T15" s="1">
        <f t="shared" si="1"/>
        <v>21</v>
      </c>
      <c r="U15" s="4" t="str">
        <f t="shared" si="2"/>
        <v/>
      </c>
      <c r="V15" s="4" t="e">
        <f>IF($V$3=$M$3,M15,U15*(1+'Rhaniad y Ddeiliadaeth (Cymru)'!C$118))</f>
        <v>#VALUE!</v>
      </c>
      <c r="W15" s="4" t="e">
        <f>V15*(1+'Rhaniad y Ddeiliadaeth (Cymru)'!D$118)</f>
        <v>#VALUE!</v>
      </c>
      <c r="X15" s="4" t="e">
        <f>W15*(1+'Rhaniad y Ddeiliadaeth (Cymru)'!E$118)</f>
        <v>#VALUE!</v>
      </c>
      <c r="Y15" s="4" t="e">
        <f>X15*(1+'Rhaniad y Ddeiliadaeth (Cymru)'!F$118)</f>
        <v>#VALUE!</v>
      </c>
      <c r="Z15" s="4" t="e">
        <f>Y15*(1+'Rhaniad y Ddeiliadaeth (Cymru)'!G$118)</f>
        <v>#VALUE!</v>
      </c>
      <c r="AB15" s="1">
        <v>21</v>
      </c>
      <c r="AC15" s="4">
        <f>IF('Rhaniad y Ddeiliadaeth (Cymru)'!$D$18="Data Cofrestrfa Tir",'Prisiau Tai (Cymru)'!D15,'Prisiau Tai (Cymru)'!V15)</f>
        <v>102840.55852930945</v>
      </c>
      <c r="AD15" s="4">
        <f>IF('Rhaniad y Ddeiliadaeth (Cymru)'!$D$18="Data Cofrestrfa Tir",'Prisiau Tai (Cymru)'!E15,'Prisiau Tai (Cymru)'!W15)</f>
        <v>103069.53866258534</v>
      </c>
      <c r="AE15" s="4">
        <f>IF('Rhaniad y Ddeiliadaeth (Cymru)'!$D$18="Data Cofrestrfa Tir",'Prisiau Tai (Cymru)'!F15,'Prisiau Tai (Cymru)'!X15)</f>
        <v>105288.04658211772</v>
      </c>
      <c r="AF15" s="4">
        <f>IF('Rhaniad y Ddeiliadaeth (Cymru)'!$D$18="Data Cofrestrfa Tir",'Prisiau Tai (Cymru)'!G15,'Prisiau Tai (Cymru)'!Y15)</f>
        <v>109394.19285402722</v>
      </c>
      <c r="AG15" s="4">
        <f>IF('Rhaniad y Ddeiliadaeth (Cymru)'!$D$18="Data Cofrestrfa Tir",'Prisiau Tai (Cymru)'!H15,'Prisiau Tai (Cymru)'!Z15)</f>
        <v>113931.85564897528</v>
      </c>
    </row>
    <row r="16" spans="2:33" x14ac:dyDescent="0.25">
      <c r="B16" s="20">
        <v>22</v>
      </c>
      <c r="C16" s="56">
        <v>101500</v>
      </c>
      <c r="D16" s="57">
        <f>C16*(1+'Rhaniad y Ddeiliadaeth (Cymru)'!C$118)</f>
        <v>104383.16690724909</v>
      </c>
      <c r="E16" s="57">
        <f>D16*(1+'Rhaniad y Ddeiliadaeth (Cymru)'!D$118)</f>
        <v>104615.58174252413</v>
      </c>
      <c r="F16" s="57">
        <f>E16*(1+'Rhaniad y Ddeiliadaeth (Cymru)'!E$118)</f>
        <v>106867.36728084949</v>
      </c>
      <c r="G16" s="57">
        <f>F16*(1+'Rhaniad y Ddeiliadaeth (Cymru)'!F$118)</f>
        <v>111035.10574683764</v>
      </c>
      <c r="H16" s="58">
        <f>G16*(1+'Rhaniad y Ddeiliadaeth (Cymru)'!G$118)</f>
        <v>115640.83348370991</v>
      </c>
      <c r="L16" s="62" t="str">
        <f t="shared" si="0"/>
        <v/>
      </c>
      <c r="M16" s="239"/>
      <c r="N16" s="14">
        <f t="shared" si="3"/>
        <v>1</v>
      </c>
      <c r="T16" s="1">
        <f t="shared" si="1"/>
        <v>22</v>
      </c>
      <c r="U16" s="4" t="str">
        <f t="shared" si="2"/>
        <v/>
      </c>
      <c r="V16" s="4" t="e">
        <f>IF($V$3=$M$3,M16,U16*(1+'Rhaniad y Ddeiliadaeth (Cymru)'!C$118))</f>
        <v>#VALUE!</v>
      </c>
      <c r="W16" s="4" t="e">
        <f>V16*(1+'Rhaniad y Ddeiliadaeth (Cymru)'!D$118)</f>
        <v>#VALUE!</v>
      </c>
      <c r="X16" s="4" t="e">
        <f>W16*(1+'Rhaniad y Ddeiliadaeth (Cymru)'!E$118)</f>
        <v>#VALUE!</v>
      </c>
      <c r="Y16" s="4" t="e">
        <f>X16*(1+'Rhaniad y Ddeiliadaeth (Cymru)'!F$118)</f>
        <v>#VALUE!</v>
      </c>
      <c r="Z16" s="4" t="e">
        <f>Y16*(1+'Rhaniad y Ddeiliadaeth (Cymru)'!G$118)</f>
        <v>#VALUE!</v>
      </c>
      <c r="AB16" s="1">
        <v>22</v>
      </c>
      <c r="AC16" s="4">
        <f>IF('Rhaniad y Ddeiliadaeth (Cymru)'!$D$18="Data Cofrestrfa Tir",'Prisiau Tai (Cymru)'!D16,'Prisiau Tai (Cymru)'!V16)</f>
        <v>104383.16690724909</v>
      </c>
      <c r="AD16" s="4">
        <f>IF('Rhaniad y Ddeiliadaeth (Cymru)'!$D$18="Data Cofrestrfa Tir",'Prisiau Tai (Cymru)'!E16,'Prisiau Tai (Cymru)'!W16)</f>
        <v>104615.58174252413</v>
      </c>
      <c r="AE16" s="4">
        <f>IF('Rhaniad y Ddeiliadaeth (Cymru)'!$D$18="Data Cofrestrfa Tir",'Prisiau Tai (Cymru)'!F16,'Prisiau Tai (Cymru)'!X16)</f>
        <v>106867.36728084949</v>
      </c>
      <c r="AF16" s="4">
        <f>IF('Rhaniad y Ddeiliadaeth (Cymru)'!$D$18="Data Cofrestrfa Tir",'Prisiau Tai (Cymru)'!G16,'Prisiau Tai (Cymru)'!Y16)</f>
        <v>111035.10574683764</v>
      </c>
      <c r="AG16" s="4">
        <f>IF('Rhaniad y Ddeiliadaeth (Cymru)'!$D$18="Data Cofrestrfa Tir",'Prisiau Tai (Cymru)'!H16,'Prisiau Tai (Cymru)'!Z16)</f>
        <v>115640.83348370991</v>
      </c>
    </row>
    <row r="17" spans="2:33" x14ac:dyDescent="0.25">
      <c r="B17" s="20">
        <v>23</v>
      </c>
      <c r="C17" s="56">
        <v>104995</v>
      </c>
      <c r="D17" s="57">
        <f>C17*(1+'Rhaniad y Ddeiliadaeth (Cymru)'!C$118)</f>
        <v>107977.44442784846</v>
      </c>
      <c r="E17" s="57">
        <f>D17*(1+'Rhaniad y Ddeiliadaeth (Cymru)'!D$118)</f>
        <v>108217.86211878149</v>
      </c>
      <c r="F17" s="57">
        <f>E17*(1+'Rhaniad y Ddeiliadaeth (Cymru)'!E$118)</f>
        <v>110547.1845088945</v>
      </c>
      <c r="G17" s="57">
        <f>F17*(1+'Rhaniad y Ddeiliadaeth (Cymru)'!F$118)</f>
        <v>114858.43278708588</v>
      </c>
      <c r="H17" s="58">
        <f>G17*(1+'Rhaniad y Ddeiliadaeth (Cymru)'!G$118)</f>
        <v>119622.75183864159</v>
      </c>
      <c r="L17" s="62" t="str">
        <f t="shared" si="0"/>
        <v/>
      </c>
      <c r="M17" s="239"/>
      <c r="N17" s="14">
        <f t="shared" si="3"/>
        <v>1</v>
      </c>
      <c r="T17" s="1">
        <f t="shared" si="1"/>
        <v>23</v>
      </c>
      <c r="U17" s="4" t="str">
        <f t="shared" si="2"/>
        <v/>
      </c>
      <c r="V17" s="4" t="e">
        <f>IF($V$3=$M$3,M17,U17*(1+'Rhaniad y Ddeiliadaeth (Cymru)'!C$118))</f>
        <v>#VALUE!</v>
      </c>
      <c r="W17" s="4" t="e">
        <f>V17*(1+'Rhaniad y Ddeiliadaeth (Cymru)'!D$118)</f>
        <v>#VALUE!</v>
      </c>
      <c r="X17" s="4" t="e">
        <f>W17*(1+'Rhaniad y Ddeiliadaeth (Cymru)'!E$118)</f>
        <v>#VALUE!</v>
      </c>
      <c r="Y17" s="4" t="e">
        <f>X17*(1+'Rhaniad y Ddeiliadaeth (Cymru)'!F$118)</f>
        <v>#VALUE!</v>
      </c>
      <c r="Z17" s="4" t="e">
        <f>Y17*(1+'Rhaniad y Ddeiliadaeth (Cymru)'!G$118)</f>
        <v>#VALUE!</v>
      </c>
      <c r="AB17" s="1">
        <v>23</v>
      </c>
      <c r="AC17" s="4">
        <f>IF('Rhaniad y Ddeiliadaeth (Cymru)'!$D$18="Data Cofrestrfa Tir",'Prisiau Tai (Cymru)'!D17,'Prisiau Tai (Cymru)'!V17)</f>
        <v>107977.44442784846</v>
      </c>
      <c r="AD17" s="4">
        <f>IF('Rhaniad y Ddeiliadaeth (Cymru)'!$D$18="Data Cofrestrfa Tir",'Prisiau Tai (Cymru)'!E17,'Prisiau Tai (Cymru)'!W17)</f>
        <v>108217.86211878149</v>
      </c>
      <c r="AE17" s="4">
        <f>IF('Rhaniad y Ddeiliadaeth (Cymru)'!$D$18="Data Cofrestrfa Tir",'Prisiau Tai (Cymru)'!F17,'Prisiau Tai (Cymru)'!X17)</f>
        <v>110547.1845088945</v>
      </c>
      <c r="AF17" s="4">
        <f>IF('Rhaniad y Ddeiliadaeth (Cymru)'!$D$18="Data Cofrestrfa Tir",'Prisiau Tai (Cymru)'!G17,'Prisiau Tai (Cymru)'!Y17)</f>
        <v>114858.43278708588</v>
      </c>
      <c r="AG17" s="4">
        <f>IF('Rhaniad y Ddeiliadaeth (Cymru)'!$D$18="Data Cofrestrfa Tir",'Prisiau Tai (Cymru)'!H17,'Prisiau Tai (Cymru)'!Z17)</f>
        <v>119622.75183864159</v>
      </c>
    </row>
    <row r="18" spans="2:33" x14ac:dyDescent="0.25">
      <c r="B18" s="20">
        <v>24</v>
      </c>
      <c r="C18" s="56">
        <v>105000</v>
      </c>
      <c r="D18" s="57">
        <f>C18*(1+'Rhaniad y Ddeiliadaeth (Cymru)'!C$118)</f>
        <v>107982.58645577492</v>
      </c>
      <c r="E18" s="57">
        <f>D18*(1+'Rhaniad y Ddeiliadaeth (Cymru)'!D$118)</f>
        <v>108223.01559571461</v>
      </c>
      <c r="F18" s="57">
        <f>E18*(1+'Rhaniad y Ddeiliadaeth (Cymru)'!E$118)</f>
        <v>110552.4489112236</v>
      </c>
      <c r="G18" s="57">
        <f>F18*(1+'Rhaniad y Ddeiliadaeth (Cymru)'!F$118)</f>
        <v>114863.90249672858</v>
      </c>
      <c r="H18" s="58">
        <f>G18*(1+'Rhaniad y Ddeiliadaeth (Cymru)'!G$118)</f>
        <v>119628.44843142404</v>
      </c>
      <c r="L18" s="62" t="str">
        <f t="shared" si="0"/>
        <v/>
      </c>
      <c r="M18" s="239"/>
      <c r="N18" s="14">
        <f t="shared" si="3"/>
        <v>1</v>
      </c>
      <c r="T18" s="1">
        <f t="shared" si="1"/>
        <v>24</v>
      </c>
      <c r="U18" s="4" t="str">
        <f t="shared" si="2"/>
        <v/>
      </c>
      <c r="V18" s="4" t="e">
        <f>IF($V$3=$M$3,M18,U18*(1+'Rhaniad y Ddeiliadaeth (Cymru)'!C$118))</f>
        <v>#VALUE!</v>
      </c>
      <c r="W18" s="4" t="e">
        <f>V18*(1+'Rhaniad y Ddeiliadaeth (Cymru)'!D$118)</f>
        <v>#VALUE!</v>
      </c>
      <c r="X18" s="4" t="e">
        <f>W18*(1+'Rhaniad y Ddeiliadaeth (Cymru)'!E$118)</f>
        <v>#VALUE!</v>
      </c>
      <c r="Y18" s="4" t="e">
        <f>X18*(1+'Rhaniad y Ddeiliadaeth (Cymru)'!F$118)</f>
        <v>#VALUE!</v>
      </c>
      <c r="Z18" s="4" t="e">
        <f>Y18*(1+'Rhaniad y Ddeiliadaeth (Cymru)'!G$118)</f>
        <v>#VALUE!</v>
      </c>
      <c r="AB18" s="1">
        <v>24</v>
      </c>
      <c r="AC18" s="4">
        <f>IF('Rhaniad y Ddeiliadaeth (Cymru)'!$D$18="Data Cofrestrfa Tir",'Prisiau Tai (Cymru)'!D18,'Prisiau Tai (Cymru)'!V18)</f>
        <v>107982.58645577492</v>
      </c>
      <c r="AD18" s="4">
        <f>IF('Rhaniad y Ddeiliadaeth (Cymru)'!$D$18="Data Cofrestrfa Tir",'Prisiau Tai (Cymru)'!E18,'Prisiau Tai (Cymru)'!W18)</f>
        <v>108223.01559571461</v>
      </c>
      <c r="AE18" s="4">
        <f>IF('Rhaniad y Ddeiliadaeth (Cymru)'!$D$18="Data Cofrestrfa Tir",'Prisiau Tai (Cymru)'!F18,'Prisiau Tai (Cymru)'!X18)</f>
        <v>110552.4489112236</v>
      </c>
      <c r="AF18" s="4">
        <f>IF('Rhaniad y Ddeiliadaeth (Cymru)'!$D$18="Data Cofrestrfa Tir",'Prisiau Tai (Cymru)'!G18,'Prisiau Tai (Cymru)'!Y18)</f>
        <v>114863.90249672858</v>
      </c>
      <c r="AG18" s="4">
        <f>IF('Rhaniad y Ddeiliadaeth (Cymru)'!$D$18="Data Cofrestrfa Tir",'Prisiau Tai (Cymru)'!H18,'Prisiau Tai (Cymru)'!Z18)</f>
        <v>119628.44843142404</v>
      </c>
    </row>
    <row r="19" spans="2:33" x14ac:dyDescent="0.25">
      <c r="B19" s="20">
        <v>25</v>
      </c>
      <c r="C19" s="56">
        <v>108000</v>
      </c>
      <c r="D19" s="57">
        <f>C19*(1+'Rhaniad y Ddeiliadaeth (Cymru)'!C$118)</f>
        <v>111067.8032116542</v>
      </c>
      <c r="E19" s="57">
        <f>D19*(1+'Rhaniad y Ddeiliadaeth (Cymru)'!D$118)</f>
        <v>111315.10175559217</v>
      </c>
      <c r="F19" s="57">
        <f>E19*(1+'Rhaniad y Ddeiliadaeth (Cymru)'!E$118)</f>
        <v>113711.09030868714</v>
      </c>
      <c r="G19" s="57">
        <f>F19*(1+'Rhaniad y Ddeiliadaeth (Cymru)'!F$118)</f>
        <v>118145.7282823494</v>
      </c>
      <c r="H19" s="58">
        <f>G19*(1+'Rhaniad y Ddeiliadaeth (Cymru)'!G$118)</f>
        <v>123046.4041008933</v>
      </c>
      <c r="L19" s="62" t="str">
        <f t="shared" si="0"/>
        <v/>
      </c>
      <c r="M19" s="239"/>
      <c r="N19" s="14">
        <f t="shared" si="3"/>
        <v>1</v>
      </c>
      <c r="T19" s="1">
        <f t="shared" si="1"/>
        <v>25</v>
      </c>
      <c r="U19" s="4" t="str">
        <f t="shared" si="2"/>
        <v/>
      </c>
      <c r="V19" s="4" t="e">
        <f>IF($V$3=$M$3,M19,U19*(1+'Rhaniad y Ddeiliadaeth (Cymru)'!C$118))</f>
        <v>#VALUE!</v>
      </c>
      <c r="W19" s="4" t="e">
        <f>V19*(1+'Rhaniad y Ddeiliadaeth (Cymru)'!D$118)</f>
        <v>#VALUE!</v>
      </c>
      <c r="X19" s="4" t="e">
        <f>W19*(1+'Rhaniad y Ddeiliadaeth (Cymru)'!E$118)</f>
        <v>#VALUE!</v>
      </c>
      <c r="Y19" s="4" t="e">
        <f>X19*(1+'Rhaniad y Ddeiliadaeth (Cymru)'!F$118)</f>
        <v>#VALUE!</v>
      </c>
      <c r="Z19" s="4" t="e">
        <f>Y19*(1+'Rhaniad y Ddeiliadaeth (Cymru)'!G$118)</f>
        <v>#VALUE!</v>
      </c>
      <c r="AB19" s="1">
        <v>25</v>
      </c>
      <c r="AC19" s="4">
        <f>IF('Rhaniad y Ddeiliadaeth (Cymru)'!$D$18="Data Cofrestrfa Tir",'Prisiau Tai (Cymru)'!D19,'Prisiau Tai (Cymru)'!V19)</f>
        <v>111067.8032116542</v>
      </c>
      <c r="AD19" s="4">
        <f>IF('Rhaniad y Ddeiliadaeth (Cymru)'!$D$18="Data Cofrestrfa Tir",'Prisiau Tai (Cymru)'!E19,'Prisiau Tai (Cymru)'!W19)</f>
        <v>111315.10175559217</v>
      </c>
      <c r="AE19" s="4">
        <f>IF('Rhaniad y Ddeiliadaeth (Cymru)'!$D$18="Data Cofrestrfa Tir",'Prisiau Tai (Cymru)'!F19,'Prisiau Tai (Cymru)'!X19)</f>
        <v>113711.09030868714</v>
      </c>
      <c r="AF19" s="4">
        <f>IF('Rhaniad y Ddeiliadaeth (Cymru)'!$D$18="Data Cofrestrfa Tir",'Prisiau Tai (Cymru)'!G19,'Prisiau Tai (Cymru)'!Y19)</f>
        <v>118145.7282823494</v>
      </c>
      <c r="AG19" s="4">
        <f>IF('Rhaniad y Ddeiliadaeth (Cymru)'!$D$18="Data Cofrestrfa Tir",'Prisiau Tai (Cymru)'!H19,'Prisiau Tai (Cymru)'!Z19)</f>
        <v>123046.4041008933</v>
      </c>
    </row>
    <row r="20" spans="2:33" x14ac:dyDescent="0.25">
      <c r="B20" s="20">
        <v>26</v>
      </c>
      <c r="C20" s="56">
        <v>110000</v>
      </c>
      <c r="D20" s="57">
        <f>C20*(1+'Rhaniad y Ddeiliadaeth (Cymru)'!C$118)</f>
        <v>113124.61438224038</v>
      </c>
      <c r="E20" s="57">
        <f>D20*(1+'Rhaniad y Ddeiliadaeth (Cymru)'!D$118)</f>
        <v>113376.49252884387</v>
      </c>
      <c r="F20" s="57">
        <f>E20*(1+'Rhaniad y Ddeiliadaeth (Cymru)'!E$118)</f>
        <v>115816.85124032947</v>
      </c>
      <c r="G20" s="57">
        <f>F20*(1+'Rhaniad y Ddeiliadaeth (Cymru)'!F$118)</f>
        <v>120333.61213942993</v>
      </c>
      <c r="H20" s="58">
        <f>G20*(1+'Rhaniad y Ddeiliadaeth (Cymru)'!G$118)</f>
        <v>125325.04121387278</v>
      </c>
      <c r="L20" s="62" t="str">
        <f t="shared" si="0"/>
        <v/>
      </c>
      <c r="M20" s="239"/>
      <c r="N20" s="14">
        <f t="shared" si="3"/>
        <v>1</v>
      </c>
      <c r="T20" s="1">
        <f t="shared" si="1"/>
        <v>26</v>
      </c>
      <c r="U20" s="4" t="str">
        <f t="shared" si="2"/>
        <v/>
      </c>
      <c r="V20" s="4" t="e">
        <f>IF($V$3=$M$3,M20,U20*(1+'Rhaniad y Ddeiliadaeth (Cymru)'!C$118))</f>
        <v>#VALUE!</v>
      </c>
      <c r="W20" s="4" t="e">
        <f>V20*(1+'Rhaniad y Ddeiliadaeth (Cymru)'!D$118)</f>
        <v>#VALUE!</v>
      </c>
      <c r="X20" s="4" t="e">
        <f>W20*(1+'Rhaniad y Ddeiliadaeth (Cymru)'!E$118)</f>
        <v>#VALUE!</v>
      </c>
      <c r="Y20" s="4" t="e">
        <f>X20*(1+'Rhaniad y Ddeiliadaeth (Cymru)'!F$118)</f>
        <v>#VALUE!</v>
      </c>
      <c r="Z20" s="4" t="e">
        <f>Y20*(1+'Rhaniad y Ddeiliadaeth (Cymru)'!G$118)</f>
        <v>#VALUE!</v>
      </c>
      <c r="AB20" s="1">
        <v>26</v>
      </c>
      <c r="AC20" s="4">
        <f>IF('Rhaniad y Ddeiliadaeth (Cymru)'!$D$18="Data Cofrestrfa Tir",'Prisiau Tai (Cymru)'!D20,'Prisiau Tai (Cymru)'!V20)</f>
        <v>113124.61438224038</v>
      </c>
      <c r="AD20" s="4">
        <f>IF('Rhaniad y Ddeiliadaeth (Cymru)'!$D$18="Data Cofrestrfa Tir",'Prisiau Tai (Cymru)'!E20,'Prisiau Tai (Cymru)'!W20)</f>
        <v>113376.49252884387</v>
      </c>
      <c r="AE20" s="4">
        <f>IF('Rhaniad y Ddeiliadaeth (Cymru)'!$D$18="Data Cofrestrfa Tir",'Prisiau Tai (Cymru)'!F20,'Prisiau Tai (Cymru)'!X20)</f>
        <v>115816.85124032947</v>
      </c>
      <c r="AF20" s="4">
        <f>IF('Rhaniad y Ddeiliadaeth (Cymru)'!$D$18="Data Cofrestrfa Tir",'Prisiau Tai (Cymru)'!G20,'Prisiau Tai (Cymru)'!Y20)</f>
        <v>120333.61213942993</v>
      </c>
      <c r="AG20" s="4">
        <f>IF('Rhaniad y Ddeiliadaeth (Cymru)'!$D$18="Data Cofrestrfa Tir",'Prisiau Tai (Cymru)'!H20,'Prisiau Tai (Cymru)'!Z20)</f>
        <v>125325.04121387278</v>
      </c>
    </row>
    <row r="21" spans="2:33" x14ac:dyDescent="0.25">
      <c r="B21" s="20">
        <v>27</v>
      </c>
      <c r="C21" s="56">
        <v>111000</v>
      </c>
      <c r="D21" s="57">
        <f>C21*(1+'Rhaniad y Ddeiliadaeth (Cymru)'!C$118)</f>
        <v>114153.01996753349</v>
      </c>
      <c r="E21" s="57">
        <f>D21*(1+'Rhaniad y Ddeiliadaeth (Cymru)'!D$118)</f>
        <v>114407.18791546972</v>
      </c>
      <c r="F21" s="57">
        <f>E21*(1+'Rhaniad y Ddeiliadaeth (Cymru)'!E$118)</f>
        <v>116869.73170615066</v>
      </c>
      <c r="G21" s="57">
        <f>F21*(1+'Rhaniad y Ddeiliadaeth (Cymru)'!F$118)</f>
        <v>121427.55406797021</v>
      </c>
      <c r="H21" s="58">
        <f>G21*(1+'Rhaniad y Ddeiliadaeth (Cymru)'!G$118)</f>
        <v>126464.35977036256</v>
      </c>
      <c r="L21" s="62" t="str">
        <f t="shared" si="0"/>
        <v/>
      </c>
      <c r="M21" s="239"/>
      <c r="N21" s="14">
        <f t="shared" si="3"/>
        <v>1</v>
      </c>
      <c r="T21" s="1">
        <f t="shared" si="1"/>
        <v>27</v>
      </c>
      <c r="U21" s="4" t="str">
        <f t="shared" si="2"/>
        <v/>
      </c>
      <c r="V21" s="4" t="e">
        <f>IF($V$3=$M$3,M21,U21*(1+'Rhaniad y Ddeiliadaeth (Cymru)'!C$118))</f>
        <v>#VALUE!</v>
      </c>
      <c r="W21" s="4" t="e">
        <f>V21*(1+'Rhaniad y Ddeiliadaeth (Cymru)'!D$118)</f>
        <v>#VALUE!</v>
      </c>
      <c r="X21" s="4" t="e">
        <f>W21*(1+'Rhaniad y Ddeiliadaeth (Cymru)'!E$118)</f>
        <v>#VALUE!</v>
      </c>
      <c r="Y21" s="4" t="e">
        <f>X21*(1+'Rhaniad y Ddeiliadaeth (Cymru)'!F$118)</f>
        <v>#VALUE!</v>
      </c>
      <c r="Z21" s="4" t="e">
        <f>Y21*(1+'Rhaniad y Ddeiliadaeth (Cymru)'!G$118)</f>
        <v>#VALUE!</v>
      </c>
      <c r="AB21" s="1">
        <v>27</v>
      </c>
      <c r="AC21" s="4">
        <f>IF('Rhaniad y Ddeiliadaeth (Cymru)'!$D$18="Data Cofrestrfa Tir",'Prisiau Tai (Cymru)'!D21,'Prisiau Tai (Cymru)'!V21)</f>
        <v>114153.01996753349</v>
      </c>
      <c r="AD21" s="4">
        <f>IF('Rhaniad y Ddeiliadaeth (Cymru)'!$D$18="Data Cofrestrfa Tir",'Prisiau Tai (Cymru)'!E21,'Prisiau Tai (Cymru)'!W21)</f>
        <v>114407.18791546972</v>
      </c>
      <c r="AE21" s="4">
        <f>IF('Rhaniad y Ddeiliadaeth (Cymru)'!$D$18="Data Cofrestrfa Tir",'Prisiau Tai (Cymru)'!F21,'Prisiau Tai (Cymru)'!X21)</f>
        <v>116869.73170615066</v>
      </c>
      <c r="AF21" s="4">
        <f>IF('Rhaniad y Ddeiliadaeth (Cymru)'!$D$18="Data Cofrestrfa Tir",'Prisiau Tai (Cymru)'!G21,'Prisiau Tai (Cymru)'!Y21)</f>
        <v>121427.55406797021</v>
      </c>
      <c r="AG21" s="4">
        <f>IF('Rhaniad y Ddeiliadaeth (Cymru)'!$D$18="Data Cofrestrfa Tir",'Prisiau Tai (Cymru)'!H21,'Prisiau Tai (Cymru)'!Z21)</f>
        <v>126464.35977036256</v>
      </c>
    </row>
    <row r="22" spans="2:33" x14ac:dyDescent="0.25">
      <c r="B22" s="20">
        <v>28</v>
      </c>
      <c r="C22" s="56">
        <v>114000</v>
      </c>
      <c r="D22" s="57">
        <f>C22*(1+'Rhaniad y Ddeiliadaeth (Cymru)'!C$118)</f>
        <v>117238.23672341277</v>
      </c>
      <c r="E22" s="57">
        <f>D22*(1+'Rhaniad y Ddeiliadaeth (Cymru)'!D$118)</f>
        <v>117499.27407534729</v>
      </c>
      <c r="F22" s="57">
        <f>E22*(1+'Rhaniad y Ddeiliadaeth (Cymru)'!E$118)</f>
        <v>120028.3731036142</v>
      </c>
      <c r="G22" s="57">
        <f>F22*(1+'Rhaniad y Ddeiliadaeth (Cymru)'!F$118)</f>
        <v>124709.37985359103</v>
      </c>
      <c r="H22" s="58">
        <f>G22*(1+'Rhaniad y Ddeiliadaeth (Cymru)'!G$118)</f>
        <v>129882.31543983181</v>
      </c>
      <c r="L22" s="62" t="str">
        <f t="shared" si="0"/>
        <v/>
      </c>
      <c r="M22" s="239"/>
      <c r="N22" s="14">
        <f t="shared" si="3"/>
        <v>1</v>
      </c>
      <c r="T22" s="1">
        <f t="shared" si="1"/>
        <v>28</v>
      </c>
      <c r="U22" s="4" t="str">
        <f t="shared" si="2"/>
        <v/>
      </c>
      <c r="V22" s="4" t="e">
        <f>IF($V$3=$M$3,M22,U22*(1+'Rhaniad y Ddeiliadaeth (Cymru)'!C$118))</f>
        <v>#VALUE!</v>
      </c>
      <c r="W22" s="4" t="e">
        <f>V22*(1+'Rhaniad y Ddeiliadaeth (Cymru)'!D$118)</f>
        <v>#VALUE!</v>
      </c>
      <c r="X22" s="4" t="e">
        <f>W22*(1+'Rhaniad y Ddeiliadaeth (Cymru)'!E$118)</f>
        <v>#VALUE!</v>
      </c>
      <c r="Y22" s="4" t="e">
        <f>X22*(1+'Rhaniad y Ddeiliadaeth (Cymru)'!F$118)</f>
        <v>#VALUE!</v>
      </c>
      <c r="Z22" s="4" t="e">
        <f>Y22*(1+'Rhaniad y Ddeiliadaeth (Cymru)'!G$118)</f>
        <v>#VALUE!</v>
      </c>
      <c r="AB22" s="1">
        <v>28</v>
      </c>
      <c r="AC22" s="4">
        <f>IF('Rhaniad y Ddeiliadaeth (Cymru)'!$D$18="Data Cofrestrfa Tir",'Prisiau Tai (Cymru)'!D22,'Prisiau Tai (Cymru)'!V22)</f>
        <v>117238.23672341277</v>
      </c>
      <c r="AD22" s="4">
        <f>IF('Rhaniad y Ddeiliadaeth (Cymru)'!$D$18="Data Cofrestrfa Tir",'Prisiau Tai (Cymru)'!E22,'Prisiau Tai (Cymru)'!W22)</f>
        <v>117499.27407534729</v>
      </c>
      <c r="AE22" s="4">
        <f>IF('Rhaniad y Ddeiliadaeth (Cymru)'!$D$18="Data Cofrestrfa Tir",'Prisiau Tai (Cymru)'!F22,'Prisiau Tai (Cymru)'!X22)</f>
        <v>120028.3731036142</v>
      </c>
      <c r="AF22" s="4">
        <f>IF('Rhaniad y Ddeiliadaeth (Cymru)'!$D$18="Data Cofrestrfa Tir",'Prisiau Tai (Cymru)'!G22,'Prisiau Tai (Cymru)'!Y22)</f>
        <v>124709.37985359103</v>
      </c>
      <c r="AG22" s="4">
        <f>IF('Rhaniad y Ddeiliadaeth (Cymru)'!$D$18="Data Cofrestrfa Tir",'Prisiau Tai (Cymru)'!H22,'Prisiau Tai (Cymru)'!Z22)</f>
        <v>129882.31543983181</v>
      </c>
    </row>
    <row r="23" spans="2:33" x14ac:dyDescent="0.25">
      <c r="B23" s="20">
        <v>29</v>
      </c>
      <c r="C23" s="56">
        <v>115000</v>
      </c>
      <c r="D23" s="57">
        <f>C23*(1+'Rhaniad y Ddeiliadaeth (Cymru)'!C$118)</f>
        <v>118266.64230870586</v>
      </c>
      <c r="E23" s="57">
        <f>D23*(1+'Rhaniad y Ddeiliadaeth (Cymru)'!D$118)</f>
        <v>118529.96946197315</v>
      </c>
      <c r="F23" s="57">
        <f>E23*(1+'Rhaniad y Ddeiliadaeth (Cymru)'!E$118)</f>
        <v>121081.25356943537</v>
      </c>
      <c r="G23" s="57">
        <f>F23*(1+'Rhaniad y Ddeiliadaeth (Cymru)'!F$118)</f>
        <v>125803.3217821313</v>
      </c>
      <c r="H23" s="58">
        <f>G23*(1+'Rhaniad y Ddeiliadaeth (Cymru)'!G$118)</f>
        <v>131021.63399632157</v>
      </c>
      <c r="L23" s="62" t="str">
        <f t="shared" si="0"/>
        <v/>
      </c>
      <c r="M23" s="239"/>
      <c r="N23" s="14">
        <f t="shared" si="3"/>
        <v>1</v>
      </c>
      <c r="T23" s="1">
        <f t="shared" si="1"/>
        <v>29</v>
      </c>
      <c r="U23" s="4" t="str">
        <f t="shared" si="2"/>
        <v/>
      </c>
      <c r="V23" s="4" t="e">
        <f>IF($V$3=$M$3,M23,U23*(1+'Rhaniad y Ddeiliadaeth (Cymru)'!C$118))</f>
        <v>#VALUE!</v>
      </c>
      <c r="W23" s="4" t="e">
        <f>V23*(1+'Rhaniad y Ddeiliadaeth (Cymru)'!D$118)</f>
        <v>#VALUE!</v>
      </c>
      <c r="X23" s="4" t="e">
        <f>W23*(1+'Rhaniad y Ddeiliadaeth (Cymru)'!E$118)</f>
        <v>#VALUE!</v>
      </c>
      <c r="Y23" s="4" t="e">
        <f>X23*(1+'Rhaniad y Ddeiliadaeth (Cymru)'!F$118)</f>
        <v>#VALUE!</v>
      </c>
      <c r="Z23" s="4" t="e">
        <f>Y23*(1+'Rhaniad y Ddeiliadaeth (Cymru)'!G$118)</f>
        <v>#VALUE!</v>
      </c>
      <c r="AB23" s="1">
        <v>29</v>
      </c>
      <c r="AC23" s="4">
        <f>IF('Rhaniad y Ddeiliadaeth (Cymru)'!$D$18="Data Cofrestrfa Tir",'Prisiau Tai (Cymru)'!D23,'Prisiau Tai (Cymru)'!V23)</f>
        <v>118266.64230870586</v>
      </c>
      <c r="AD23" s="4">
        <f>IF('Rhaniad y Ddeiliadaeth (Cymru)'!$D$18="Data Cofrestrfa Tir",'Prisiau Tai (Cymru)'!E23,'Prisiau Tai (Cymru)'!W23)</f>
        <v>118529.96946197315</v>
      </c>
      <c r="AE23" s="4">
        <f>IF('Rhaniad y Ddeiliadaeth (Cymru)'!$D$18="Data Cofrestrfa Tir",'Prisiau Tai (Cymru)'!F23,'Prisiau Tai (Cymru)'!X23)</f>
        <v>121081.25356943537</v>
      </c>
      <c r="AF23" s="4">
        <f>IF('Rhaniad y Ddeiliadaeth (Cymru)'!$D$18="Data Cofrestrfa Tir",'Prisiau Tai (Cymru)'!G23,'Prisiau Tai (Cymru)'!Y23)</f>
        <v>125803.3217821313</v>
      </c>
      <c r="AG23" s="4">
        <f>IF('Rhaniad y Ddeiliadaeth (Cymru)'!$D$18="Data Cofrestrfa Tir",'Prisiau Tai (Cymru)'!H23,'Prisiau Tai (Cymru)'!Z23)</f>
        <v>131021.63399632157</v>
      </c>
    </row>
    <row r="24" spans="2:33" x14ac:dyDescent="0.25">
      <c r="B24" s="20">
        <v>30</v>
      </c>
      <c r="C24" s="56">
        <v>117000</v>
      </c>
      <c r="D24" s="57">
        <f>C24*(1+'Rhaniad y Ddeiliadaeth (Cymru)'!C$118)</f>
        <v>120323.45347929205</v>
      </c>
      <c r="E24" s="57">
        <f>D24*(1+'Rhaniad y Ddeiliadaeth (Cymru)'!D$118)</f>
        <v>120591.36023522484</v>
      </c>
      <c r="F24" s="57">
        <f>E24*(1+'Rhaniad y Ddeiliadaeth (Cymru)'!E$118)</f>
        <v>123187.01450107772</v>
      </c>
      <c r="G24" s="57">
        <f>F24*(1+'Rhaniad y Ddeiliadaeth (Cymru)'!F$118)</f>
        <v>127991.20563921184</v>
      </c>
      <c r="H24" s="58">
        <f>G24*(1+'Rhaniad y Ddeiliadaeth (Cymru)'!G$118)</f>
        <v>133300.27110930107</v>
      </c>
      <c r="L24" s="62" t="str">
        <f t="shared" si="0"/>
        <v/>
      </c>
      <c r="M24" s="239"/>
      <c r="N24" s="14">
        <f t="shared" si="3"/>
        <v>1</v>
      </c>
      <c r="T24" s="1">
        <f t="shared" si="1"/>
        <v>30</v>
      </c>
      <c r="U24" s="4" t="str">
        <f t="shared" si="2"/>
        <v/>
      </c>
      <c r="V24" s="4" t="e">
        <f>IF($V$3=$M$3,M24,U24*(1+'Rhaniad y Ddeiliadaeth (Cymru)'!C$118))</f>
        <v>#VALUE!</v>
      </c>
      <c r="W24" s="4" t="e">
        <f>V24*(1+'Rhaniad y Ddeiliadaeth (Cymru)'!D$118)</f>
        <v>#VALUE!</v>
      </c>
      <c r="X24" s="4" t="e">
        <f>W24*(1+'Rhaniad y Ddeiliadaeth (Cymru)'!E$118)</f>
        <v>#VALUE!</v>
      </c>
      <c r="Y24" s="4" t="e">
        <f>X24*(1+'Rhaniad y Ddeiliadaeth (Cymru)'!F$118)</f>
        <v>#VALUE!</v>
      </c>
      <c r="Z24" s="4" t="e">
        <f>Y24*(1+'Rhaniad y Ddeiliadaeth (Cymru)'!G$118)</f>
        <v>#VALUE!</v>
      </c>
      <c r="AB24" s="1">
        <v>30</v>
      </c>
      <c r="AC24" s="4">
        <f>IF('Rhaniad y Ddeiliadaeth (Cymru)'!$D$18="Data Cofrestrfa Tir",'Prisiau Tai (Cymru)'!D24,'Prisiau Tai (Cymru)'!V24)</f>
        <v>120323.45347929205</v>
      </c>
      <c r="AD24" s="4">
        <f>IF('Rhaniad y Ddeiliadaeth (Cymru)'!$D$18="Data Cofrestrfa Tir",'Prisiau Tai (Cymru)'!E24,'Prisiau Tai (Cymru)'!W24)</f>
        <v>120591.36023522484</v>
      </c>
      <c r="AE24" s="4">
        <f>IF('Rhaniad y Ddeiliadaeth (Cymru)'!$D$18="Data Cofrestrfa Tir",'Prisiau Tai (Cymru)'!F24,'Prisiau Tai (Cymru)'!X24)</f>
        <v>123187.01450107772</v>
      </c>
      <c r="AF24" s="4">
        <f>IF('Rhaniad y Ddeiliadaeth (Cymru)'!$D$18="Data Cofrestrfa Tir",'Prisiau Tai (Cymru)'!G24,'Prisiau Tai (Cymru)'!Y24)</f>
        <v>127991.20563921184</v>
      </c>
      <c r="AG24" s="4">
        <f>IF('Rhaniad y Ddeiliadaeth (Cymru)'!$D$18="Data Cofrestrfa Tir",'Prisiau Tai (Cymru)'!H24,'Prisiau Tai (Cymru)'!Z24)</f>
        <v>133300.27110930107</v>
      </c>
    </row>
    <row r="25" spans="2:33" x14ac:dyDescent="0.25">
      <c r="B25" s="20">
        <v>31</v>
      </c>
      <c r="C25" s="56">
        <v>118950</v>
      </c>
      <c r="D25" s="57">
        <f>C25*(1+'Rhaniad y Ddeiliadaeth (Cymru)'!C$118)</f>
        <v>122328.84437061359</v>
      </c>
      <c r="E25" s="57">
        <f>D25*(1+'Rhaniad y Ddeiliadaeth (Cymru)'!D$118)</f>
        <v>122601.21623914526</v>
      </c>
      <c r="F25" s="57">
        <f>E25*(1+'Rhaniad y Ddeiliadaeth (Cymru)'!E$118)</f>
        <v>125240.13140942901</v>
      </c>
      <c r="G25" s="57">
        <f>F25*(1+'Rhaniad y Ddeiliadaeth (Cymru)'!F$118)</f>
        <v>130124.39239986536</v>
      </c>
      <c r="H25" s="58">
        <f>G25*(1+'Rhaniad y Ddeiliadaeth (Cymru)'!G$118)</f>
        <v>135521.94229445606</v>
      </c>
      <c r="L25" s="62" t="str">
        <f t="shared" si="0"/>
        <v/>
      </c>
      <c r="M25" s="239"/>
      <c r="N25" s="14">
        <f t="shared" si="3"/>
        <v>1</v>
      </c>
      <c r="T25" s="1">
        <f t="shared" si="1"/>
        <v>31</v>
      </c>
      <c r="U25" s="4" t="str">
        <f t="shared" si="2"/>
        <v/>
      </c>
      <c r="V25" s="4" t="e">
        <f>IF($V$3=$M$3,M25,U25*(1+'Rhaniad y Ddeiliadaeth (Cymru)'!C$118))</f>
        <v>#VALUE!</v>
      </c>
      <c r="W25" s="4" t="e">
        <f>V25*(1+'Rhaniad y Ddeiliadaeth (Cymru)'!D$118)</f>
        <v>#VALUE!</v>
      </c>
      <c r="X25" s="4" t="e">
        <f>W25*(1+'Rhaniad y Ddeiliadaeth (Cymru)'!E$118)</f>
        <v>#VALUE!</v>
      </c>
      <c r="Y25" s="4" t="e">
        <f>X25*(1+'Rhaniad y Ddeiliadaeth (Cymru)'!F$118)</f>
        <v>#VALUE!</v>
      </c>
      <c r="Z25" s="4" t="e">
        <f>Y25*(1+'Rhaniad y Ddeiliadaeth (Cymru)'!G$118)</f>
        <v>#VALUE!</v>
      </c>
      <c r="AB25" s="1">
        <v>31</v>
      </c>
      <c r="AC25" s="4">
        <f>IF('Rhaniad y Ddeiliadaeth (Cymru)'!$D$18="Data Cofrestrfa Tir",'Prisiau Tai (Cymru)'!D25,'Prisiau Tai (Cymru)'!V25)</f>
        <v>122328.84437061359</v>
      </c>
      <c r="AD25" s="4">
        <f>IF('Rhaniad y Ddeiliadaeth (Cymru)'!$D$18="Data Cofrestrfa Tir",'Prisiau Tai (Cymru)'!E25,'Prisiau Tai (Cymru)'!W25)</f>
        <v>122601.21623914526</v>
      </c>
      <c r="AE25" s="4">
        <f>IF('Rhaniad y Ddeiliadaeth (Cymru)'!$D$18="Data Cofrestrfa Tir",'Prisiau Tai (Cymru)'!F25,'Prisiau Tai (Cymru)'!X25)</f>
        <v>125240.13140942901</v>
      </c>
      <c r="AF25" s="4">
        <f>IF('Rhaniad y Ddeiliadaeth (Cymru)'!$D$18="Data Cofrestrfa Tir",'Prisiau Tai (Cymru)'!G25,'Prisiau Tai (Cymru)'!Y25)</f>
        <v>130124.39239986536</v>
      </c>
      <c r="AG25" s="4">
        <f>IF('Rhaniad y Ddeiliadaeth (Cymru)'!$D$18="Data Cofrestrfa Tir",'Prisiau Tai (Cymru)'!H25,'Prisiau Tai (Cymru)'!Z25)</f>
        <v>135521.94229445606</v>
      </c>
    </row>
    <row r="26" spans="2:33" x14ac:dyDescent="0.25">
      <c r="B26" s="20">
        <v>32</v>
      </c>
      <c r="C26" s="56">
        <v>120000</v>
      </c>
      <c r="D26" s="57">
        <f>C26*(1+'Rhaniad y Ddeiliadaeth (Cymru)'!C$118)</f>
        <v>123408.67023517133</v>
      </c>
      <c r="E26" s="57">
        <f>D26*(1+'Rhaniad y Ddeiliadaeth (Cymru)'!D$118)</f>
        <v>123683.44639510241</v>
      </c>
      <c r="F26" s="57">
        <f>E26*(1+'Rhaniad y Ddeiliadaeth (Cymru)'!E$118)</f>
        <v>126345.65589854126</v>
      </c>
      <c r="G26" s="57">
        <f>F26*(1+'Rhaniad y Ddeiliadaeth (Cymru)'!F$118)</f>
        <v>131273.03142483268</v>
      </c>
      <c r="H26" s="58">
        <f>G26*(1+'Rhaniad y Ddeiliadaeth (Cymru)'!G$118)</f>
        <v>136718.22677877033</v>
      </c>
      <c r="L26" s="62" t="str">
        <f t="shared" si="0"/>
        <v/>
      </c>
      <c r="M26" s="239"/>
      <c r="N26" s="14">
        <f t="shared" si="3"/>
        <v>1</v>
      </c>
      <c r="T26" s="1">
        <f t="shared" si="1"/>
        <v>32</v>
      </c>
      <c r="U26" s="4" t="str">
        <f t="shared" si="2"/>
        <v/>
      </c>
      <c r="V26" s="4" t="e">
        <f>IF($V$3=$M$3,M26,U26*(1+'Rhaniad y Ddeiliadaeth (Cymru)'!C$118))</f>
        <v>#VALUE!</v>
      </c>
      <c r="W26" s="4" t="e">
        <f>V26*(1+'Rhaniad y Ddeiliadaeth (Cymru)'!D$118)</f>
        <v>#VALUE!</v>
      </c>
      <c r="X26" s="4" t="e">
        <f>W26*(1+'Rhaniad y Ddeiliadaeth (Cymru)'!E$118)</f>
        <v>#VALUE!</v>
      </c>
      <c r="Y26" s="4" t="e">
        <f>X26*(1+'Rhaniad y Ddeiliadaeth (Cymru)'!F$118)</f>
        <v>#VALUE!</v>
      </c>
      <c r="Z26" s="4" t="e">
        <f>Y26*(1+'Rhaniad y Ddeiliadaeth (Cymru)'!G$118)</f>
        <v>#VALUE!</v>
      </c>
      <c r="AB26" s="1">
        <v>32</v>
      </c>
      <c r="AC26" s="4">
        <f>IF('Rhaniad y Ddeiliadaeth (Cymru)'!$D$18="Data Cofrestrfa Tir",'Prisiau Tai (Cymru)'!D26,'Prisiau Tai (Cymru)'!V26)</f>
        <v>123408.67023517133</v>
      </c>
      <c r="AD26" s="4">
        <f>IF('Rhaniad y Ddeiliadaeth (Cymru)'!$D$18="Data Cofrestrfa Tir",'Prisiau Tai (Cymru)'!E26,'Prisiau Tai (Cymru)'!W26)</f>
        <v>123683.44639510241</v>
      </c>
      <c r="AE26" s="4">
        <f>IF('Rhaniad y Ddeiliadaeth (Cymru)'!$D$18="Data Cofrestrfa Tir",'Prisiau Tai (Cymru)'!F26,'Prisiau Tai (Cymru)'!X26)</f>
        <v>126345.65589854126</v>
      </c>
      <c r="AF26" s="4">
        <f>IF('Rhaniad y Ddeiliadaeth (Cymru)'!$D$18="Data Cofrestrfa Tir",'Prisiau Tai (Cymru)'!G26,'Prisiau Tai (Cymru)'!Y26)</f>
        <v>131273.03142483268</v>
      </c>
      <c r="AG26" s="4">
        <f>IF('Rhaniad y Ddeiliadaeth (Cymru)'!$D$18="Data Cofrestrfa Tir",'Prisiau Tai (Cymru)'!H26,'Prisiau Tai (Cymru)'!Z26)</f>
        <v>136718.22677877033</v>
      </c>
    </row>
    <row r="27" spans="2:33" x14ac:dyDescent="0.25">
      <c r="B27" s="20">
        <v>33</v>
      </c>
      <c r="C27" s="56">
        <v>121000</v>
      </c>
      <c r="D27" s="57">
        <f>C27*(1+'Rhaniad y Ddeiliadaeth (Cymru)'!C$118)</f>
        <v>124437.07582046442</v>
      </c>
      <c r="E27" s="57">
        <f>D27*(1+'Rhaniad y Ddeiliadaeth (Cymru)'!D$118)</f>
        <v>124714.14178172825</v>
      </c>
      <c r="F27" s="57">
        <f>E27*(1+'Rhaniad y Ddeiliadaeth (Cymru)'!E$118)</f>
        <v>127398.53636436243</v>
      </c>
      <c r="G27" s="57">
        <f>F27*(1+'Rhaniad y Ddeiliadaeth (Cymru)'!F$118)</f>
        <v>132366.97335337292</v>
      </c>
      <c r="H27" s="58">
        <f>G27*(1+'Rhaniad y Ddeiliadaeth (Cymru)'!G$118)</f>
        <v>137857.54533526007</v>
      </c>
      <c r="L27" s="62" t="str">
        <f t="shared" si="0"/>
        <v/>
      </c>
      <c r="M27" s="239"/>
      <c r="N27" s="14">
        <f t="shared" si="3"/>
        <v>1</v>
      </c>
      <c r="T27" s="1">
        <f t="shared" si="1"/>
        <v>33</v>
      </c>
      <c r="U27" s="4" t="str">
        <f t="shared" si="2"/>
        <v/>
      </c>
      <c r="V27" s="4" t="e">
        <f>IF($V$3=$M$3,M27,U27*(1+'Rhaniad y Ddeiliadaeth (Cymru)'!C$118))</f>
        <v>#VALUE!</v>
      </c>
      <c r="W27" s="4" t="e">
        <f>V27*(1+'Rhaniad y Ddeiliadaeth (Cymru)'!D$118)</f>
        <v>#VALUE!</v>
      </c>
      <c r="X27" s="4" t="e">
        <f>W27*(1+'Rhaniad y Ddeiliadaeth (Cymru)'!E$118)</f>
        <v>#VALUE!</v>
      </c>
      <c r="Y27" s="4" t="e">
        <f>X27*(1+'Rhaniad y Ddeiliadaeth (Cymru)'!F$118)</f>
        <v>#VALUE!</v>
      </c>
      <c r="Z27" s="4" t="e">
        <f>Y27*(1+'Rhaniad y Ddeiliadaeth (Cymru)'!G$118)</f>
        <v>#VALUE!</v>
      </c>
      <c r="AB27" s="1">
        <v>33</v>
      </c>
      <c r="AC27" s="4">
        <f>IF('Rhaniad y Ddeiliadaeth (Cymru)'!$D$18="Data Cofrestrfa Tir",'Prisiau Tai (Cymru)'!D27,'Prisiau Tai (Cymru)'!V27)</f>
        <v>124437.07582046442</v>
      </c>
      <c r="AD27" s="4">
        <f>IF('Rhaniad y Ddeiliadaeth (Cymru)'!$D$18="Data Cofrestrfa Tir",'Prisiau Tai (Cymru)'!E27,'Prisiau Tai (Cymru)'!W27)</f>
        <v>124714.14178172825</v>
      </c>
      <c r="AE27" s="4">
        <f>IF('Rhaniad y Ddeiliadaeth (Cymru)'!$D$18="Data Cofrestrfa Tir",'Prisiau Tai (Cymru)'!F27,'Prisiau Tai (Cymru)'!X27)</f>
        <v>127398.53636436243</v>
      </c>
      <c r="AF27" s="4">
        <f>IF('Rhaniad y Ddeiliadaeth (Cymru)'!$D$18="Data Cofrestrfa Tir",'Prisiau Tai (Cymru)'!G27,'Prisiau Tai (Cymru)'!Y27)</f>
        <v>132366.97335337292</v>
      </c>
      <c r="AG27" s="4">
        <f>IF('Rhaniad y Ddeiliadaeth (Cymru)'!$D$18="Data Cofrestrfa Tir",'Prisiau Tai (Cymru)'!H27,'Prisiau Tai (Cymru)'!Z27)</f>
        <v>137857.54533526007</v>
      </c>
    </row>
    <row r="28" spans="2:33" x14ac:dyDescent="0.25">
      <c r="B28" s="20">
        <v>34</v>
      </c>
      <c r="C28" s="56">
        <v>123000</v>
      </c>
      <c r="D28" s="57">
        <f>C28*(1+'Rhaniad y Ddeiliadaeth (Cymru)'!C$118)</f>
        <v>126493.88699105062</v>
      </c>
      <c r="E28" s="57">
        <f>D28*(1+'Rhaniad y Ddeiliadaeth (Cymru)'!D$118)</f>
        <v>126775.53255497997</v>
      </c>
      <c r="F28" s="57">
        <f>E28*(1+'Rhaniad y Ddeiliadaeth (Cymru)'!E$118)</f>
        <v>129504.29729600479</v>
      </c>
      <c r="G28" s="57">
        <f>F28*(1+'Rhaniad y Ddeiliadaeth (Cymru)'!F$118)</f>
        <v>134554.85721045348</v>
      </c>
      <c r="H28" s="58">
        <f>G28*(1+'Rhaniad y Ddeiliadaeth (Cymru)'!G$118)</f>
        <v>140136.18244823959</v>
      </c>
      <c r="L28" s="62" t="str">
        <f t="shared" si="0"/>
        <v/>
      </c>
      <c r="M28" s="239"/>
      <c r="N28" s="14">
        <f t="shared" si="3"/>
        <v>1</v>
      </c>
      <c r="T28" s="1">
        <f t="shared" si="1"/>
        <v>34</v>
      </c>
      <c r="U28" s="4" t="str">
        <f t="shared" si="2"/>
        <v/>
      </c>
      <c r="V28" s="4" t="e">
        <f>IF($V$3=$M$3,M28,U28*(1+'Rhaniad y Ddeiliadaeth (Cymru)'!C$118))</f>
        <v>#VALUE!</v>
      </c>
      <c r="W28" s="4" t="e">
        <f>V28*(1+'Rhaniad y Ddeiliadaeth (Cymru)'!D$118)</f>
        <v>#VALUE!</v>
      </c>
      <c r="X28" s="4" t="e">
        <f>W28*(1+'Rhaniad y Ddeiliadaeth (Cymru)'!E$118)</f>
        <v>#VALUE!</v>
      </c>
      <c r="Y28" s="4" t="e">
        <f>X28*(1+'Rhaniad y Ddeiliadaeth (Cymru)'!F$118)</f>
        <v>#VALUE!</v>
      </c>
      <c r="Z28" s="4" t="e">
        <f>Y28*(1+'Rhaniad y Ddeiliadaeth (Cymru)'!G$118)</f>
        <v>#VALUE!</v>
      </c>
      <c r="AB28" s="1">
        <v>34</v>
      </c>
      <c r="AC28" s="4">
        <f>IF('Rhaniad y Ddeiliadaeth (Cymru)'!$D$18="Data Cofrestrfa Tir",'Prisiau Tai (Cymru)'!D28,'Prisiau Tai (Cymru)'!V28)</f>
        <v>126493.88699105062</v>
      </c>
      <c r="AD28" s="4">
        <f>IF('Rhaniad y Ddeiliadaeth (Cymru)'!$D$18="Data Cofrestrfa Tir",'Prisiau Tai (Cymru)'!E28,'Prisiau Tai (Cymru)'!W28)</f>
        <v>126775.53255497997</v>
      </c>
      <c r="AE28" s="4">
        <f>IF('Rhaniad y Ddeiliadaeth (Cymru)'!$D$18="Data Cofrestrfa Tir",'Prisiau Tai (Cymru)'!F28,'Prisiau Tai (Cymru)'!X28)</f>
        <v>129504.29729600479</v>
      </c>
      <c r="AF28" s="4">
        <f>IF('Rhaniad y Ddeiliadaeth (Cymru)'!$D$18="Data Cofrestrfa Tir",'Prisiau Tai (Cymru)'!G28,'Prisiau Tai (Cymru)'!Y28)</f>
        <v>134554.85721045348</v>
      </c>
      <c r="AG28" s="4">
        <f>IF('Rhaniad y Ddeiliadaeth (Cymru)'!$D$18="Data Cofrestrfa Tir",'Prisiau Tai (Cymru)'!H28,'Prisiau Tai (Cymru)'!Z28)</f>
        <v>140136.18244823959</v>
      </c>
    </row>
    <row r="29" spans="2:33" x14ac:dyDescent="0.25">
      <c r="B29" s="20">
        <v>35</v>
      </c>
      <c r="C29" s="56">
        <v>125000</v>
      </c>
      <c r="D29" s="57">
        <f>C29*(1+'Rhaniad y Ddeiliadaeth (Cymru)'!C$118)</f>
        <v>128550.6981616368</v>
      </c>
      <c r="E29" s="57">
        <f>D29*(1+'Rhaniad y Ddeiliadaeth (Cymru)'!D$118)</f>
        <v>128836.92332823167</v>
      </c>
      <c r="F29" s="57">
        <f>E29*(1+'Rhaniad y Ddeiliadaeth (Cymru)'!E$118)</f>
        <v>131610.05822764715</v>
      </c>
      <c r="G29" s="57">
        <f>F29*(1+'Rhaniad y Ddeiliadaeth (Cymru)'!F$118)</f>
        <v>136742.74106753402</v>
      </c>
      <c r="H29" s="58">
        <f>G29*(1+'Rhaniad y Ddeiliadaeth (Cymru)'!G$118)</f>
        <v>142414.8195612191</v>
      </c>
      <c r="L29" s="62" t="str">
        <f t="shared" si="0"/>
        <v/>
      </c>
      <c r="M29" s="239"/>
      <c r="N29" s="14">
        <f t="shared" si="3"/>
        <v>1</v>
      </c>
      <c r="T29" s="1">
        <f t="shared" si="1"/>
        <v>35</v>
      </c>
      <c r="U29" s="4" t="str">
        <f t="shared" si="2"/>
        <v/>
      </c>
      <c r="V29" s="4" t="e">
        <f>IF($V$3=$M$3,M29,U29*(1+'Rhaniad y Ddeiliadaeth (Cymru)'!C$118))</f>
        <v>#VALUE!</v>
      </c>
      <c r="W29" s="4" t="e">
        <f>V29*(1+'Rhaniad y Ddeiliadaeth (Cymru)'!D$118)</f>
        <v>#VALUE!</v>
      </c>
      <c r="X29" s="4" t="e">
        <f>W29*(1+'Rhaniad y Ddeiliadaeth (Cymru)'!E$118)</f>
        <v>#VALUE!</v>
      </c>
      <c r="Y29" s="4" t="e">
        <f>X29*(1+'Rhaniad y Ddeiliadaeth (Cymru)'!F$118)</f>
        <v>#VALUE!</v>
      </c>
      <c r="Z29" s="4" t="e">
        <f>Y29*(1+'Rhaniad y Ddeiliadaeth (Cymru)'!G$118)</f>
        <v>#VALUE!</v>
      </c>
      <c r="AB29" s="1">
        <v>35</v>
      </c>
      <c r="AC29" s="4">
        <f>IF('Rhaniad y Ddeiliadaeth (Cymru)'!$D$18="Data Cofrestrfa Tir",'Prisiau Tai (Cymru)'!D29,'Prisiau Tai (Cymru)'!V29)</f>
        <v>128550.6981616368</v>
      </c>
      <c r="AD29" s="4">
        <f>IF('Rhaniad y Ddeiliadaeth (Cymru)'!$D$18="Data Cofrestrfa Tir",'Prisiau Tai (Cymru)'!E29,'Prisiau Tai (Cymru)'!W29)</f>
        <v>128836.92332823167</v>
      </c>
      <c r="AE29" s="4">
        <f>IF('Rhaniad y Ddeiliadaeth (Cymru)'!$D$18="Data Cofrestrfa Tir",'Prisiau Tai (Cymru)'!F29,'Prisiau Tai (Cymru)'!X29)</f>
        <v>131610.05822764715</v>
      </c>
      <c r="AF29" s="4">
        <f>IF('Rhaniad y Ddeiliadaeth (Cymru)'!$D$18="Data Cofrestrfa Tir",'Prisiau Tai (Cymru)'!G29,'Prisiau Tai (Cymru)'!Y29)</f>
        <v>136742.74106753402</v>
      </c>
      <c r="AG29" s="4">
        <f>IF('Rhaniad y Ddeiliadaeth (Cymru)'!$D$18="Data Cofrestrfa Tir",'Prisiau Tai (Cymru)'!H29,'Prisiau Tai (Cymru)'!Z29)</f>
        <v>142414.8195612191</v>
      </c>
    </row>
    <row r="30" spans="2:33" x14ac:dyDescent="0.25">
      <c r="B30" s="20">
        <v>36</v>
      </c>
      <c r="C30" s="56">
        <v>125000</v>
      </c>
      <c r="D30" s="57">
        <f>C30*(1+'Rhaniad y Ddeiliadaeth (Cymru)'!C$118)</f>
        <v>128550.6981616368</v>
      </c>
      <c r="E30" s="57">
        <f>D30*(1+'Rhaniad y Ddeiliadaeth (Cymru)'!D$118)</f>
        <v>128836.92332823167</v>
      </c>
      <c r="F30" s="57">
        <f>E30*(1+'Rhaniad y Ddeiliadaeth (Cymru)'!E$118)</f>
        <v>131610.05822764715</v>
      </c>
      <c r="G30" s="57">
        <f>F30*(1+'Rhaniad y Ddeiliadaeth (Cymru)'!F$118)</f>
        <v>136742.74106753402</v>
      </c>
      <c r="H30" s="58">
        <f>G30*(1+'Rhaniad y Ddeiliadaeth (Cymru)'!G$118)</f>
        <v>142414.8195612191</v>
      </c>
      <c r="L30" s="62" t="str">
        <f t="shared" si="0"/>
        <v/>
      </c>
      <c r="M30" s="239"/>
      <c r="N30" s="14">
        <f t="shared" si="3"/>
        <v>1</v>
      </c>
      <c r="T30" s="1">
        <f t="shared" si="1"/>
        <v>36</v>
      </c>
      <c r="U30" s="4" t="str">
        <f t="shared" si="2"/>
        <v/>
      </c>
      <c r="V30" s="4" t="e">
        <f>IF($V$3=$M$3,M30,U30*(1+'Rhaniad y Ddeiliadaeth (Cymru)'!C$118))</f>
        <v>#VALUE!</v>
      </c>
      <c r="W30" s="4" t="e">
        <f>V30*(1+'Rhaniad y Ddeiliadaeth (Cymru)'!D$118)</f>
        <v>#VALUE!</v>
      </c>
      <c r="X30" s="4" t="e">
        <f>W30*(1+'Rhaniad y Ddeiliadaeth (Cymru)'!E$118)</f>
        <v>#VALUE!</v>
      </c>
      <c r="Y30" s="4" t="e">
        <f>X30*(1+'Rhaniad y Ddeiliadaeth (Cymru)'!F$118)</f>
        <v>#VALUE!</v>
      </c>
      <c r="Z30" s="4" t="e">
        <f>Y30*(1+'Rhaniad y Ddeiliadaeth (Cymru)'!G$118)</f>
        <v>#VALUE!</v>
      </c>
      <c r="AB30" s="1">
        <v>36</v>
      </c>
      <c r="AC30" s="4">
        <f>IF('Rhaniad y Ddeiliadaeth (Cymru)'!$D$18="Data Cofrestrfa Tir",'Prisiau Tai (Cymru)'!D30,'Prisiau Tai (Cymru)'!V30)</f>
        <v>128550.6981616368</v>
      </c>
      <c r="AD30" s="4">
        <f>IF('Rhaniad y Ddeiliadaeth (Cymru)'!$D$18="Data Cofrestrfa Tir",'Prisiau Tai (Cymru)'!E30,'Prisiau Tai (Cymru)'!W30)</f>
        <v>128836.92332823167</v>
      </c>
      <c r="AE30" s="4">
        <f>IF('Rhaniad y Ddeiliadaeth (Cymru)'!$D$18="Data Cofrestrfa Tir",'Prisiau Tai (Cymru)'!F30,'Prisiau Tai (Cymru)'!X30)</f>
        <v>131610.05822764715</v>
      </c>
      <c r="AF30" s="4">
        <f>IF('Rhaniad y Ddeiliadaeth (Cymru)'!$D$18="Data Cofrestrfa Tir",'Prisiau Tai (Cymru)'!G30,'Prisiau Tai (Cymru)'!Y30)</f>
        <v>136742.74106753402</v>
      </c>
      <c r="AG30" s="4">
        <f>IF('Rhaniad y Ddeiliadaeth (Cymru)'!$D$18="Data Cofrestrfa Tir",'Prisiau Tai (Cymru)'!H30,'Prisiau Tai (Cymru)'!Z30)</f>
        <v>142414.8195612191</v>
      </c>
    </row>
    <row r="31" spans="2:33" x14ac:dyDescent="0.25">
      <c r="B31" s="20">
        <v>37</v>
      </c>
      <c r="C31" s="56">
        <v>127500</v>
      </c>
      <c r="D31" s="57">
        <f>C31*(1+'Rhaniad y Ddeiliadaeth (Cymru)'!C$118)</f>
        <v>131121.71212486955</v>
      </c>
      <c r="E31" s="57">
        <f>D31*(1+'Rhaniad y Ddeiliadaeth (Cymru)'!D$118)</f>
        <v>131413.66179479632</v>
      </c>
      <c r="F31" s="57">
        <f>E31*(1+'Rhaniad y Ddeiliadaeth (Cymru)'!E$118)</f>
        <v>134242.2593922001</v>
      </c>
      <c r="G31" s="57">
        <f>F31*(1+'Rhaniad y Ddeiliadaeth (Cymru)'!F$118)</f>
        <v>139477.59588888471</v>
      </c>
      <c r="H31" s="58">
        <f>G31*(1+'Rhaniad y Ddeiliadaeth (Cymru)'!G$118)</f>
        <v>145263.11595244348</v>
      </c>
      <c r="L31" s="62" t="str">
        <f t="shared" si="0"/>
        <v/>
      </c>
      <c r="M31" s="239"/>
      <c r="N31" s="14">
        <f t="shared" si="3"/>
        <v>1</v>
      </c>
      <c r="T31" s="1">
        <f t="shared" si="1"/>
        <v>37</v>
      </c>
      <c r="U31" s="4" t="str">
        <f t="shared" si="2"/>
        <v/>
      </c>
      <c r="V31" s="4" t="e">
        <f>IF($V$3=$M$3,M31,U31*(1+'Rhaniad y Ddeiliadaeth (Cymru)'!C$118))</f>
        <v>#VALUE!</v>
      </c>
      <c r="W31" s="4" t="e">
        <f>V31*(1+'Rhaniad y Ddeiliadaeth (Cymru)'!D$118)</f>
        <v>#VALUE!</v>
      </c>
      <c r="X31" s="4" t="e">
        <f>W31*(1+'Rhaniad y Ddeiliadaeth (Cymru)'!E$118)</f>
        <v>#VALUE!</v>
      </c>
      <c r="Y31" s="4" t="e">
        <f>X31*(1+'Rhaniad y Ddeiliadaeth (Cymru)'!F$118)</f>
        <v>#VALUE!</v>
      </c>
      <c r="Z31" s="4" t="e">
        <f>Y31*(1+'Rhaniad y Ddeiliadaeth (Cymru)'!G$118)</f>
        <v>#VALUE!</v>
      </c>
      <c r="AB31" s="1">
        <v>37</v>
      </c>
      <c r="AC31" s="4">
        <f>IF('Rhaniad y Ddeiliadaeth (Cymru)'!$D$18="Data Cofrestrfa Tir",'Prisiau Tai (Cymru)'!D31,'Prisiau Tai (Cymru)'!V31)</f>
        <v>131121.71212486955</v>
      </c>
      <c r="AD31" s="4">
        <f>IF('Rhaniad y Ddeiliadaeth (Cymru)'!$D$18="Data Cofrestrfa Tir",'Prisiau Tai (Cymru)'!E31,'Prisiau Tai (Cymru)'!W31)</f>
        <v>131413.66179479632</v>
      </c>
      <c r="AE31" s="4">
        <f>IF('Rhaniad y Ddeiliadaeth (Cymru)'!$D$18="Data Cofrestrfa Tir",'Prisiau Tai (Cymru)'!F31,'Prisiau Tai (Cymru)'!X31)</f>
        <v>134242.2593922001</v>
      </c>
      <c r="AF31" s="4">
        <f>IF('Rhaniad y Ddeiliadaeth (Cymru)'!$D$18="Data Cofrestrfa Tir",'Prisiau Tai (Cymru)'!G31,'Prisiau Tai (Cymru)'!Y31)</f>
        <v>139477.59588888471</v>
      </c>
      <c r="AG31" s="4">
        <f>IF('Rhaniad y Ddeiliadaeth (Cymru)'!$D$18="Data Cofrestrfa Tir",'Prisiau Tai (Cymru)'!H31,'Prisiau Tai (Cymru)'!Z31)</f>
        <v>145263.11595244348</v>
      </c>
    </row>
    <row r="32" spans="2:33" x14ac:dyDescent="0.25">
      <c r="B32" s="20">
        <v>38</v>
      </c>
      <c r="C32" s="56">
        <v>130000</v>
      </c>
      <c r="D32" s="57">
        <f>C32*(1+'Rhaniad y Ddeiliadaeth (Cymru)'!C$118)</f>
        <v>133692.72608810227</v>
      </c>
      <c r="E32" s="57">
        <f>D32*(1+'Rhaniad y Ddeiliadaeth (Cymru)'!D$118)</f>
        <v>133990.40026136092</v>
      </c>
      <c r="F32" s="57">
        <f>E32*(1+'Rhaniad y Ddeiliadaeth (Cymru)'!E$118)</f>
        <v>136874.46055675301</v>
      </c>
      <c r="G32" s="57">
        <f>F32*(1+'Rhaniad y Ddeiliadaeth (Cymru)'!F$118)</f>
        <v>142212.45071023537</v>
      </c>
      <c r="H32" s="58">
        <f>G32*(1+'Rhaniad y Ddeiliadaeth (Cymru)'!G$118)</f>
        <v>148111.41234366785</v>
      </c>
      <c r="L32" s="62" t="str">
        <f t="shared" si="0"/>
        <v/>
      </c>
      <c r="M32" s="239"/>
      <c r="N32" s="14">
        <f t="shared" si="3"/>
        <v>1</v>
      </c>
      <c r="T32" s="1">
        <f t="shared" si="1"/>
        <v>38</v>
      </c>
      <c r="U32" s="4" t="str">
        <f t="shared" si="2"/>
        <v/>
      </c>
      <c r="V32" s="4" t="e">
        <f>IF($V$3=$M$3,M32,U32*(1+'Rhaniad y Ddeiliadaeth (Cymru)'!C$118))</f>
        <v>#VALUE!</v>
      </c>
      <c r="W32" s="4" t="e">
        <f>V32*(1+'Rhaniad y Ddeiliadaeth (Cymru)'!D$118)</f>
        <v>#VALUE!</v>
      </c>
      <c r="X32" s="4" t="e">
        <f>W32*(1+'Rhaniad y Ddeiliadaeth (Cymru)'!E$118)</f>
        <v>#VALUE!</v>
      </c>
      <c r="Y32" s="4" t="e">
        <f>X32*(1+'Rhaniad y Ddeiliadaeth (Cymru)'!F$118)</f>
        <v>#VALUE!</v>
      </c>
      <c r="Z32" s="4" t="e">
        <f>Y32*(1+'Rhaniad y Ddeiliadaeth (Cymru)'!G$118)</f>
        <v>#VALUE!</v>
      </c>
      <c r="AB32" s="1">
        <v>38</v>
      </c>
      <c r="AC32" s="4">
        <f>IF('Rhaniad y Ddeiliadaeth (Cymru)'!$D$18="Data Cofrestrfa Tir",'Prisiau Tai (Cymru)'!D32,'Prisiau Tai (Cymru)'!V32)</f>
        <v>133692.72608810227</v>
      </c>
      <c r="AD32" s="4">
        <f>IF('Rhaniad y Ddeiliadaeth (Cymru)'!$D$18="Data Cofrestrfa Tir",'Prisiau Tai (Cymru)'!E32,'Prisiau Tai (Cymru)'!W32)</f>
        <v>133990.40026136092</v>
      </c>
      <c r="AE32" s="4">
        <f>IF('Rhaniad y Ddeiliadaeth (Cymru)'!$D$18="Data Cofrestrfa Tir",'Prisiau Tai (Cymru)'!F32,'Prisiau Tai (Cymru)'!X32)</f>
        <v>136874.46055675301</v>
      </c>
      <c r="AF32" s="4">
        <f>IF('Rhaniad y Ddeiliadaeth (Cymru)'!$D$18="Data Cofrestrfa Tir",'Prisiau Tai (Cymru)'!G32,'Prisiau Tai (Cymru)'!Y32)</f>
        <v>142212.45071023537</v>
      </c>
      <c r="AG32" s="4">
        <f>IF('Rhaniad y Ddeiliadaeth (Cymru)'!$D$18="Data Cofrestrfa Tir",'Prisiau Tai (Cymru)'!H32,'Prisiau Tai (Cymru)'!Z32)</f>
        <v>148111.41234366785</v>
      </c>
    </row>
    <row r="33" spans="2:33" x14ac:dyDescent="0.25">
      <c r="B33" s="20">
        <v>39</v>
      </c>
      <c r="C33" s="56">
        <v>130000</v>
      </c>
      <c r="D33" s="57">
        <f>C33*(1+'Rhaniad y Ddeiliadaeth (Cymru)'!C$118)</f>
        <v>133692.72608810227</v>
      </c>
      <c r="E33" s="57">
        <f>D33*(1+'Rhaniad y Ddeiliadaeth (Cymru)'!D$118)</f>
        <v>133990.40026136092</v>
      </c>
      <c r="F33" s="57">
        <f>E33*(1+'Rhaniad y Ddeiliadaeth (Cymru)'!E$118)</f>
        <v>136874.46055675301</v>
      </c>
      <c r="G33" s="57">
        <f>F33*(1+'Rhaniad y Ddeiliadaeth (Cymru)'!F$118)</f>
        <v>142212.45071023537</v>
      </c>
      <c r="H33" s="58">
        <f>G33*(1+'Rhaniad y Ddeiliadaeth (Cymru)'!G$118)</f>
        <v>148111.41234366785</v>
      </c>
      <c r="L33" s="62" t="str">
        <f t="shared" si="0"/>
        <v/>
      </c>
      <c r="M33" s="239"/>
      <c r="N33" s="14">
        <f t="shared" si="3"/>
        <v>1</v>
      </c>
      <c r="T33" s="1">
        <f t="shared" si="1"/>
        <v>39</v>
      </c>
      <c r="U33" s="4" t="str">
        <f t="shared" si="2"/>
        <v/>
      </c>
      <c r="V33" s="4" t="e">
        <f>IF($V$3=$M$3,M33,U33*(1+'Rhaniad y Ddeiliadaeth (Cymru)'!C$118))</f>
        <v>#VALUE!</v>
      </c>
      <c r="W33" s="4" t="e">
        <f>V33*(1+'Rhaniad y Ddeiliadaeth (Cymru)'!D$118)</f>
        <v>#VALUE!</v>
      </c>
      <c r="X33" s="4" t="e">
        <f>W33*(1+'Rhaniad y Ddeiliadaeth (Cymru)'!E$118)</f>
        <v>#VALUE!</v>
      </c>
      <c r="Y33" s="4" t="e">
        <f>X33*(1+'Rhaniad y Ddeiliadaeth (Cymru)'!F$118)</f>
        <v>#VALUE!</v>
      </c>
      <c r="Z33" s="4" t="e">
        <f>Y33*(1+'Rhaniad y Ddeiliadaeth (Cymru)'!G$118)</f>
        <v>#VALUE!</v>
      </c>
      <c r="AB33" s="1">
        <v>39</v>
      </c>
      <c r="AC33" s="4">
        <f>IF('Rhaniad y Ddeiliadaeth (Cymru)'!$D$18="Data Cofrestrfa Tir",'Prisiau Tai (Cymru)'!D33,'Prisiau Tai (Cymru)'!V33)</f>
        <v>133692.72608810227</v>
      </c>
      <c r="AD33" s="4">
        <f>IF('Rhaniad y Ddeiliadaeth (Cymru)'!$D$18="Data Cofrestrfa Tir",'Prisiau Tai (Cymru)'!E33,'Prisiau Tai (Cymru)'!W33)</f>
        <v>133990.40026136092</v>
      </c>
      <c r="AE33" s="4">
        <f>IF('Rhaniad y Ddeiliadaeth (Cymru)'!$D$18="Data Cofrestrfa Tir",'Prisiau Tai (Cymru)'!F33,'Prisiau Tai (Cymru)'!X33)</f>
        <v>136874.46055675301</v>
      </c>
      <c r="AF33" s="4">
        <f>IF('Rhaniad y Ddeiliadaeth (Cymru)'!$D$18="Data Cofrestrfa Tir",'Prisiau Tai (Cymru)'!G33,'Prisiau Tai (Cymru)'!Y33)</f>
        <v>142212.45071023537</v>
      </c>
      <c r="AG33" s="4">
        <f>IF('Rhaniad y Ddeiliadaeth (Cymru)'!$D$18="Data Cofrestrfa Tir",'Prisiau Tai (Cymru)'!H33,'Prisiau Tai (Cymru)'!Z33)</f>
        <v>148111.41234366785</v>
      </c>
    </row>
    <row r="34" spans="2:33" x14ac:dyDescent="0.25">
      <c r="B34" s="20">
        <v>40</v>
      </c>
      <c r="C34" s="56">
        <v>132500</v>
      </c>
      <c r="D34" s="57">
        <f>C34*(1+'Rhaniad y Ddeiliadaeth (Cymru)'!C$118)</f>
        <v>136263.74005133501</v>
      </c>
      <c r="E34" s="57">
        <f>D34*(1+'Rhaniad y Ddeiliadaeth (Cymru)'!D$118)</f>
        <v>136567.13872792557</v>
      </c>
      <c r="F34" s="57">
        <f>E34*(1+'Rhaniad y Ddeiliadaeth (Cymru)'!E$118)</f>
        <v>139506.66172130598</v>
      </c>
      <c r="G34" s="57">
        <f>F34*(1+'Rhaniad y Ddeiliadaeth (Cymru)'!F$118)</f>
        <v>144947.30553158608</v>
      </c>
      <c r="H34" s="58">
        <f>G34*(1+'Rhaniad y Ddeiliadaeth (Cymru)'!G$118)</f>
        <v>150959.70873489225</v>
      </c>
      <c r="L34" s="62" t="str">
        <f t="shared" si="0"/>
        <v/>
      </c>
      <c r="M34" s="239"/>
      <c r="N34" s="14">
        <f t="shared" si="3"/>
        <v>1</v>
      </c>
      <c r="T34" s="1">
        <f t="shared" si="1"/>
        <v>40</v>
      </c>
      <c r="U34" s="4" t="str">
        <f t="shared" si="2"/>
        <v/>
      </c>
      <c r="V34" s="4" t="e">
        <f>IF($V$3=$M$3,M34,U34*(1+'Rhaniad y Ddeiliadaeth (Cymru)'!C$118))</f>
        <v>#VALUE!</v>
      </c>
      <c r="W34" s="4" t="e">
        <f>V34*(1+'Rhaniad y Ddeiliadaeth (Cymru)'!D$118)</f>
        <v>#VALUE!</v>
      </c>
      <c r="X34" s="4" t="e">
        <f>W34*(1+'Rhaniad y Ddeiliadaeth (Cymru)'!E$118)</f>
        <v>#VALUE!</v>
      </c>
      <c r="Y34" s="4" t="e">
        <f>X34*(1+'Rhaniad y Ddeiliadaeth (Cymru)'!F$118)</f>
        <v>#VALUE!</v>
      </c>
      <c r="Z34" s="4" t="e">
        <f>Y34*(1+'Rhaniad y Ddeiliadaeth (Cymru)'!G$118)</f>
        <v>#VALUE!</v>
      </c>
      <c r="AB34" s="1">
        <v>40</v>
      </c>
      <c r="AC34" s="4">
        <f>IF('Rhaniad y Ddeiliadaeth (Cymru)'!$D$18="Data Cofrestrfa Tir",'Prisiau Tai (Cymru)'!D34,'Prisiau Tai (Cymru)'!V34)</f>
        <v>136263.74005133501</v>
      </c>
      <c r="AD34" s="4">
        <f>IF('Rhaniad y Ddeiliadaeth (Cymru)'!$D$18="Data Cofrestrfa Tir",'Prisiau Tai (Cymru)'!E34,'Prisiau Tai (Cymru)'!W34)</f>
        <v>136567.13872792557</v>
      </c>
      <c r="AE34" s="4">
        <f>IF('Rhaniad y Ddeiliadaeth (Cymru)'!$D$18="Data Cofrestrfa Tir",'Prisiau Tai (Cymru)'!F34,'Prisiau Tai (Cymru)'!X34)</f>
        <v>139506.66172130598</v>
      </c>
      <c r="AF34" s="4">
        <f>IF('Rhaniad y Ddeiliadaeth (Cymru)'!$D$18="Data Cofrestrfa Tir",'Prisiau Tai (Cymru)'!G34,'Prisiau Tai (Cymru)'!Y34)</f>
        <v>144947.30553158608</v>
      </c>
      <c r="AG34" s="4">
        <f>IF('Rhaniad y Ddeiliadaeth (Cymru)'!$D$18="Data Cofrestrfa Tir",'Prisiau Tai (Cymru)'!H34,'Prisiau Tai (Cymru)'!Z34)</f>
        <v>150959.70873489225</v>
      </c>
    </row>
    <row r="35" spans="2:33" x14ac:dyDescent="0.25">
      <c r="B35" s="20">
        <v>41</v>
      </c>
      <c r="C35" s="56">
        <v>135000</v>
      </c>
      <c r="D35" s="57">
        <f>C35*(1+'Rhaniad y Ddeiliadaeth (Cymru)'!C$118)</f>
        <v>138834.75401456776</v>
      </c>
      <c r="E35" s="57">
        <f>D35*(1+'Rhaniad y Ddeiliadaeth (Cymru)'!D$118)</f>
        <v>139143.87719449023</v>
      </c>
      <c r="F35" s="57">
        <f>E35*(1+'Rhaniad y Ddeiliadaeth (Cymru)'!E$118)</f>
        <v>142138.86288585892</v>
      </c>
      <c r="G35" s="57">
        <f>F35*(1+'Rhaniad y Ddeiliadaeth (Cymru)'!F$118)</f>
        <v>147682.16035293674</v>
      </c>
      <c r="H35" s="58">
        <f>G35*(1+'Rhaniad y Ddeiliadaeth (Cymru)'!G$118)</f>
        <v>153808.00512611662</v>
      </c>
      <c r="L35" s="62" t="str">
        <f t="shared" si="0"/>
        <v/>
      </c>
      <c r="M35" s="239"/>
      <c r="N35" s="14">
        <f t="shared" si="3"/>
        <v>1</v>
      </c>
      <c r="T35" s="1">
        <f t="shared" si="1"/>
        <v>41</v>
      </c>
      <c r="U35" s="4" t="str">
        <f t="shared" si="2"/>
        <v/>
      </c>
      <c r="V35" s="4" t="e">
        <f>IF($V$3=$M$3,M35,U35*(1+'Rhaniad y Ddeiliadaeth (Cymru)'!C$118))</f>
        <v>#VALUE!</v>
      </c>
      <c r="W35" s="4" t="e">
        <f>V35*(1+'Rhaniad y Ddeiliadaeth (Cymru)'!D$118)</f>
        <v>#VALUE!</v>
      </c>
      <c r="X35" s="4" t="e">
        <f>W35*(1+'Rhaniad y Ddeiliadaeth (Cymru)'!E$118)</f>
        <v>#VALUE!</v>
      </c>
      <c r="Y35" s="4" t="e">
        <f>X35*(1+'Rhaniad y Ddeiliadaeth (Cymru)'!F$118)</f>
        <v>#VALUE!</v>
      </c>
      <c r="Z35" s="4" t="e">
        <f>Y35*(1+'Rhaniad y Ddeiliadaeth (Cymru)'!G$118)</f>
        <v>#VALUE!</v>
      </c>
      <c r="AB35" s="1">
        <v>41</v>
      </c>
      <c r="AC35" s="4">
        <f>IF('Rhaniad y Ddeiliadaeth (Cymru)'!$D$18="Data Cofrestrfa Tir",'Prisiau Tai (Cymru)'!D35,'Prisiau Tai (Cymru)'!V35)</f>
        <v>138834.75401456776</v>
      </c>
      <c r="AD35" s="4">
        <f>IF('Rhaniad y Ddeiliadaeth (Cymru)'!$D$18="Data Cofrestrfa Tir",'Prisiau Tai (Cymru)'!E35,'Prisiau Tai (Cymru)'!W35)</f>
        <v>139143.87719449023</v>
      </c>
      <c r="AE35" s="4">
        <f>IF('Rhaniad y Ddeiliadaeth (Cymru)'!$D$18="Data Cofrestrfa Tir",'Prisiau Tai (Cymru)'!F35,'Prisiau Tai (Cymru)'!X35)</f>
        <v>142138.86288585892</v>
      </c>
      <c r="AF35" s="4">
        <f>IF('Rhaniad y Ddeiliadaeth (Cymru)'!$D$18="Data Cofrestrfa Tir",'Prisiau Tai (Cymru)'!G35,'Prisiau Tai (Cymru)'!Y35)</f>
        <v>147682.16035293674</v>
      </c>
      <c r="AG35" s="4">
        <f>IF('Rhaniad y Ddeiliadaeth (Cymru)'!$D$18="Data Cofrestrfa Tir",'Prisiau Tai (Cymru)'!H35,'Prisiau Tai (Cymru)'!Z35)</f>
        <v>153808.00512611662</v>
      </c>
    </row>
    <row r="36" spans="2:33" x14ac:dyDescent="0.25">
      <c r="B36" s="20">
        <v>42</v>
      </c>
      <c r="C36" s="56">
        <v>135500</v>
      </c>
      <c r="D36" s="57">
        <f>C36*(1+'Rhaniad y Ddeiliadaeth (Cymru)'!C$118)</f>
        <v>139348.9568072143</v>
      </c>
      <c r="E36" s="57">
        <f>D36*(1+'Rhaniad y Ddeiliadaeth (Cymru)'!D$118)</f>
        <v>139659.22488780314</v>
      </c>
      <c r="F36" s="57">
        <f>E36*(1+'Rhaniad y Ddeiliadaeth (Cymru)'!E$118)</f>
        <v>142665.30311876952</v>
      </c>
      <c r="G36" s="57">
        <f>F36*(1+'Rhaniad y Ddeiliadaeth (Cymru)'!F$118)</f>
        <v>148229.13131720689</v>
      </c>
      <c r="H36" s="58">
        <f>G36*(1+'Rhaniad y Ddeiliadaeth (Cymru)'!G$118)</f>
        <v>154377.66440436151</v>
      </c>
      <c r="L36" s="62" t="str">
        <f t="shared" si="0"/>
        <v/>
      </c>
      <c r="M36" s="239"/>
      <c r="N36" s="14">
        <f t="shared" si="3"/>
        <v>1</v>
      </c>
      <c r="T36" s="1">
        <f t="shared" si="1"/>
        <v>42</v>
      </c>
      <c r="U36" s="4" t="str">
        <f t="shared" si="2"/>
        <v/>
      </c>
      <c r="V36" s="4" t="e">
        <f>IF($V$3=$M$3,M36,U36*(1+'Rhaniad y Ddeiliadaeth (Cymru)'!C$118))</f>
        <v>#VALUE!</v>
      </c>
      <c r="W36" s="4" t="e">
        <f>V36*(1+'Rhaniad y Ddeiliadaeth (Cymru)'!D$118)</f>
        <v>#VALUE!</v>
      </c>
      <c r="X36" s="4" t="e">
        <f>W36*(1+'Rhaniad y Ddeiliadaeth (Cymru)'!E$118)</f>
        <v>#VALUE!</v>
      </c>
      <c r="Y36" s="4" t="e">
        <f>X36*(1+'Rhaniad y Ddeiliadaeth (Cymru)'!F$118)</f>
        <v>#VALUE!</v>
      </c>
      <c r="Z36" s="4" t="e">
        <f>Y36*(1+'Rhaniad y Ddeiliadaeth (Cymru)'!G$118)</f>
        <v>#VALUE!</v>
      </c>
      <c r="AB36" s="1">
        <v>42</v>
      </c>
      <c r="AC36" s="4">
        <f>IF('Rhaniad y Ddeiliadaeth (Cymru)'!$D$18="Data Cofrestrfa Tir",'Prisiau Tai (Cymru)'!D36,'Prisiau Tai (Cymru)'!V36)</f>
        <v>139348.9568072143</v>
      </c>
      <c r="AD36" s="4">
        <f>IF('Rhaniad y Ddeiliadaeth (Cymru)'!$D$18="Data Cofrestrfa Tir",'Prisiau Tai (Cymru)'!E36,'Prisiau Tai (Cymru)'!W36)</f>
        <v>139659.22488780314</v>
      </c>
      <c r="AE36" s="4">
        <f>IF('Rhaniad y Ddeiliadaeth (Cymru)'!$D$18="Data Cofrestrfa Tir",'Prisiau Tai (Cymru)'!F36,'Prisiau Tai (Cymru)'!X36)</f>
        <v>142665.30311876952</v>
      </c>
      <c r="AF36" s="4">
        <f>IF('Rhaniad y Ddeiliadaeth (Cymru)'!$D$18="Data Cofrestrfa Tir",'Prisiau Tai (Cymru)'!G36,'Prisiau Tai (Cymru)'!Y36)</f>
        <v>148229.13131720689</v>
      </c>
      <c r="AG36" s="4">
        <f>IF('Rhaniad y Ddeiliadaeth (Cymru)'!$D$18="Data Cofrestrfa Tir",'Prisiau Tai (Cymru)'!H36,'Prisiau Tai (Cymru)'!Z36)</f>
        <v>154377.66440436151</v>
      </c>
    </row>
    <row r="37" spans="2:33" x14ac:dyDescent="0.25">
      <c r="B37" s="20">
        <v>43</v>
      </c>
      <c r="C37" s="56">
        <v>138000</v>
      </c>
      <c r="D37" s="57">
        <f>C37*(1+'Rhaniad y Ddeiliadaeth (Cymru)'!C$118)</f>
        <v>141919.97077044702</v>
      </c>
      <c r="E37" s="57">
        <f>D37*(1+'Rhaniad y Ddeiliadaeth (Cymru)'!D$118)</f>
        <v>142235.96335436776</v>
      </c>
      <c r="F37" s="57">
        <f>E37*(1+'Rhaniad y Ddeiliadaeth (Cymru)'!E$118)</f>
        <v>145297.50428332243</v>
      </c>
      <c r="G37" s="57">
        <f>F37*(1+'Rhaniad y Ddeiliadaeth (Cymru)'!F$118)</f>
        <v>150963.98613855755</v>
      </c>
      <c r="H37" s="58">
        <f>G37*(1+'Rhaniad y Ddeiliadaeth (Cymru)'!G$118)</f>
        <v>157225.96079558588</v>
      </c>
      <c r="L37" s="62" t="str">
        <f t="shared" si="0"/>
        <v/>
      </c>
      <c r="M37" s="239"/>
      <c r="N37" s="14">
        <f t="shared" si="3"/>
        <v>1</v>
      </c>
      <c r="T37" s="1">
        <f t="shared" si="1"/>
        <v>43</v>
      </c>
      <c r="U37" s="4" t="str">
        <f t="shared" si="2"/>
        <v/>
      </c>
      <c r="V37" s="4" t="e">
        <f>IF($V$3=$M$3,M37,U37*(1+'Rhaniad y Ddeiliadaeth (Cymru)'!C$118))</f>
        <v>#VALUE!</v>
      </c>
      <c r="W37" s="4" t="e">
        <f>V37*(1+'Rhaniad y Ddeiliadaeth (Cymru)'!D$118)</f>
        <v>#VALUE!</v>
      </c>
      <c r="X37" s="4" t="e">
        <f>W37*(1+'Rhaniad y Ddeiliadaeth (Cymru)'!E$118)</f>
        <v>#VALUE!</v>
      </c>
      <c r="Y37" s="4" t="e">
        <f>X37*(1+'Rhaniad y Ddeiliadaeth (Cymru)'!F$118)</f>
        <v>#VALUE!</v>
      </c>
      <c r="Z37" s="4" t="e">
        <f>Y37*(1+'Rhaniad y Ddeiliadaeth (Cymru)'!G$118)</f>
        <v>#VALUE!</v>
      </c>
      <c r="AB37" s="1">
        <v>43</v>
      </c>
      <c r="AC37" s="4">
        <f>IF('Rhaniad y Ddeiliadaeth (Cymru)'!$D$18="Data Cofrestrfa Tir",'Prisiau Tai (Cymru)'!D37,'Prisiau Tai (Cymru)'!V37)</f>
        <v>141919.97077044702</v>
      </c>
      <c r="AD37" s="4">
        <f>IF('Rhaniad y Ddeiliadaeth (Cymru)'!$D$18="Data Cofrestrfa Tir",'Prisiau Tai (Cymru)'!E37,'Prisiau Tai (Cymru)'!W37)</f>
        <v>142235.96335436776</v>
      </c>
      <c r="AE37" s="4">
        <f>IF('Rhaniad y Ddeiliadaeth (Cymru)'!$D$18="Data Cofrestrfa Tir",'Prisiau Tai (Cymru)'!F37,'Prisiau Tai (Cymru)'!X37)</f>
        <v>145297.50428332243</v>
      </c>
      <c r="AF37" s="4">
        <f>IF('Rhaniad y Ddeiliadaeth (Cymru)'!$D$18="Data Cofrestrfa Tir",'Prisiau Tai (Cymru)'!G37,'Prisiau Tai (Cymru)'!Y37)</f>
        <v>150963.98613855755</v>
      </c>
      <c r="AG37" s="4">
        <f>IF('Rhaniad y Ddeiliadaeth (Cymru)'!$D$18="Data Cofrestrfa Tir",'Prisiau Tai (Cymru)'!H37,'Prisiau Tai (Cymru)'!Z37)</f>
        <v>157225.96079558588</v>
      </c>
    </row>
    <row r="38" spans="2:33" x14ac:dyDescent="0.25">
      <c r="B38" s="20">
        <v>44</v>
      </c>
      <c r="C38" s="56">
        <v>140000</v>
      </c>
      <c r="D38" s="57">
        <f>C38*(1+'Rhaniad y Ddeiliadaeth (Cymru)'!C$118)</f>
        <v>143976.78194103323</v>
      </c>
      <c r="E38" s="57">
        <f>D38*(1+'Rhaniad y Ddeiliadaeth (Cymru)'!D$118)</f>
        <v>144297.35412761947</v>
      </c>
      <c r="F38" s="57">
        <f>E38*(1+'Rhaniad y Ddeiliadaeth (Cymru)'!E$118)</f>
        <v>147403.26521496481</v>
      </c>
      <c r="G38" s="57">
        <f>F38*(1+'Rhaniad y Ddeiliadaeth (Cymru)'!F$118)</f>
        <v>153151.86999563812</v>
      </c>
      <c r="H38" s="58">
        <f>G38*(1+'Rhaniad y Ddeiliadaeth (Cymru)'!G$118)</f>
        <v>159504.5979085654</v>
      </c>
      <c r="L38" s="62" t="str">
        <f t="shared" si="0"/>
        <v/>
      </c>
      <c r="M38" s="239"/>
      <c r="N38" s="14">
        <f t="shared" si="3"/>
        <v>1</v>
      </c>
      <c r="T38" s="1">
        <f t="shared" si="1"/>
        <v>44</v>
      </c>
      <c r="U38" s="4" t="str">
        <f t="shared" si="2"/>
        <v/>
      </c>
      <c r="V38" s="4" t="e">
        <f>IF($V$3=$M$3,M38,U38*(1+'Rhaniad y Ddeiliadaeth (Cymru)'!C$118))</f>
        <v>#VALUE!</v>
      </c>
      <c r="W38" s="4" t="e">
        <f>V38*(1+'Rhaniad y Ddeiliadaeth (Cymru)'!D$118)</f>
        <v>#VALUE!</v>
      </c>
      <c r="X38" s="4" t="e">
        <f>W38*(1+'Rhaniad y Ddeiliadaeth (Cymru)'!E$118)</f>
        <v>#VALUE!</v>
      </c>
      <c r="Y38" s="4" t="e">
        <f>X38*(1+'Rhaniad y Ddeiliadaeth (Cymru)'!F$118)</f>
        <v>#VALUE!</v>
      </c>
      <c r="Z38" s="4" t="e">
        <f>Y38*(1+'Rhaniad y Ddeiliadaeth (Cymru)'!G$118)</f>
        <v>#VALUE!</v>
      </c>
      <c r="AB38" s="1">
        <v>44</v>
      </c>
      <c r="AC38" s="4">
        <f>IF('Rhaniad y Ddeiliadaeth (Cymru)'!$D$18="Data Cofrestrfa Tir",'Prisiau Tai (Cymru)'!D38,'Prisiau Tai (Cymru)'!V38)</f>
        <v>143976.78194103323</v>
      </c>
      <c r="AD38" s="4">
        <f>IF('Rhaniad y Ddeiliadaeth (Cymru)'!$D$18="Data Cofrestrfa Tir",'Prisiau Tai (Cymru)'!E38,'Prisiau Tai (Cymru)'!W38)</f>
        <v>144297.35412761947</v>
      </c>
      <c r="AE38" s="4">
        <f>IF('Rhaniad y Ddeiliadaeth (Cymru)'!$D$18="Data Cofrestrfa Tir",'Prisiau Tai (Cymru)'!F38,'Prisiau Tai (Cymru)'!X38)</f>
        <v>147403.26521496481</v>
      </c>
      <c r="AF38" s="4">
        <f>IF('Rhaniad y Ddeiliadaeth (Cymru)'!$D$18="Data Cofrestrfa Tir",'Prisiau Tai (Cymru)'!G38,'Prisiau Tai (Cymru)'!Y38)</f>
        <v>153151.86999563812</v>
      </c>
      <c r="AG38" s="4">
        <f>IF('Rhaniad y Ddeiliadaeth (Cymru)'!$D$18="Data Cofrestrfa Tir",'Prisiau Tai (Cymru)'!H38,'Prisiau Tai (Cymru)'!Z38)</f>
        <v>159504.5979085654</v>
      </c>
    </row>
    <row r="39" spans="2:33" x14ac:dyDescent="0.25">
      <c r="B39" s="20">
        <v>45</v>
      </c>
      <c r="C39" s="56">
        <v>140166.75</v>
      </c>
      <c r="D39" s="57">
        <f>C39*(1+'Rhaniad y Ddeiliadaeth (Cymru)'!C$118)</f>
        <v>144148.26857238085</v>
      </c>
      <c r="E39" s="57">
        <f>D39*(1+'Rhaniad y Ddeiliadaeth (Cymru)'!D$118)</f>
        <v>144469.22258333935</v>
      </c>
      <c r="F39" s="57">
        <f>E39*(1+'Rhaniad y Ddeiliadaeth (Cymru)'!E$118)</f>
        <v>147578.83303264048</v>
      </c>
      <c r="G39" s="57">
        <f>F39*(1+'Rhaniad y Ddeiliadaeth (Cymru)'!F$118)</f>
        <v>153334.28481222221</v>
      </c>
      <c r="H39" s="58">
        <f>G39*(1+'Rhaniad y Ddeiliadaeth (Cymru)'!G$118)</f>
        <v>159694.57927786006</v>
      </c>
      <c r="L39" s="62" t="str">
        <f t="shared" si="0"/>
        <v/>
      </c>
      <c r="M39" s="239"/>
      <c r="N39" s="14">
        <f t="shared" si="3"/>
        <v>1</v>
      </c>
      <c r="T39" s="1">
        <f t="shared" si="1"/>
        <v>45</v>
      </c>
      <c r="U39" s="4" t="str">
        <f t="shared" si="2"/>
        <v/>
      </c>
      <c r="V39" s="4" t="e">
        <f>IF($V$3=$M$3,M39,U39*(1+'Rhaniad y Ddeiliadaeth (Cymru)'!C$118))</f>
        <v>#VALUE!</v>
      </c>
      <c r="W39" s="4" t="e">
        <f>V39*(1+'Rhaniad y Ddeiliadaeth (Cymru)'!D$118)</f>
        <v>#VALUE!</v>
      </c>
      <c r="X39" s="4" t="e">
        <f>W39*(1+'Rhaniad y Ddeiliadaeth (Cymru)'!E$118)</f>
        <v>#VALUE!</v>
      </c>
      <c r="Y39" s="4" t="e">
        <f>X39*(1+'Rhaniad y Ddeiliadaeth (Cymru)'!F$118)</f>
        <v>#VALUE!</v>
      </c>
      <c r="Z39" s="4" t="e">
        <f>Y39*(1+'Rhaniad y Ddeiliadaeth (Cymru)'!G$118)</f>
        <v>#VALUE!</v>
      </c>
      <c r="AB39" s="1">
        <v>45</v>
      </c>
      <c r="AC39" s="4">
        <f>IF('Rhaniad y Ddeiliadaeth (Cymru)'!$D$18="Data Cofrestrfa Tir",'Prisiau Tai (Cymru)'!D39,'Prisiau Tai (Cymru)'!V39)</f>
        <v>144148.26857238085</v>
      </c>
      <c r="AD39" s="4">
        <f>IF('Rhaniad y Ddeiliadaeth (Cymru)'!$D$18="Data Cofrestrfa Tir",'Prisiau Tai (Cymru)'!E39,'Prisiau Tai (Cymru)'!W39)</f>
        <v>144469.22258333935</v>
      </c>
      <c r="AE39" s="4">
        <f>IF('Rhaniad y Ddeiliadaeth (Cymru)'!$D$18="Data Cofrestrfa Tir",'Prisiau Tai (Cymru)'!F39,'Prisiau Tai (Cymru)'!X39)</f>
        <v>147578.83303264048</v>
      </c>
      <c r="AF39" s="4">
        <f>IF('Rhaniad y Ddeiliadaeth (Cymru)'!$D$18="Data Cofrestrfa Tir",'Prisiau Tai (Cymru)'!G39,'Prisiau Tai (Cymru)'!Y39)</f>
        <v>153334.28481222221</v>
      </c>
      <c r="AG39" s="4">
        <f>IF('Rhaniad y Ddeiliadaeth (Cymru)'!$D$18="Data Cofrestrfa Tir",'Prisiau Tai (Cymru)'!H39,'Prisiau Tai (Cymru)'!Z39)</f>
        <v>159694.57927786006</v>
      </c>
    </row>
    <row r="40" spans="2:33" x14ac:dyDescent="0.25">
      <c r="B40" s="20">
        <v>46</v>
      </c>
      <c r="C40" s="56">
        <v>143500</v>
      </c>
      <c r="D40" s="57">
        <f>C40*(1+'Rhaniad y Ddeiliadaeth (Cymru)'!C$118)</f>
        <v>147576.20148955905</v>
      </c>
      <c r="E40" s="57">
        <f>D40*(1+'Rhaniad y Ddeiliadaeth (Cymru)'!D$118)</f>
        <v>147904.78798080995</v>
      </c>
      <c r="F40" s="57">
        <f>E40*(1+'Rhaniad y Ddeiliadaeth (Cymru)'!E$118)</f>
        <v>151088.34684533891</v>
      </c>
      <c r="G40" s="57">
        <f>F40*(1+'Rhaniad y Ddeiliadaeth (Cymru)'!F$118)</f>
        <v>156980.66674552904</v>
      </c>
      <c r="H40" s="58">
        <f>G40*(1+'Rhaniad y Ddeiliadaeth (Cymru)'!G$118)</f>
        <v>163492.21285627951</v>
      </c>
      <c r="L40" s="62" t="str">
        <f t="shared" si="0"/>
        <v/>
      </c>
      <c r="M40" s="239"/>
      <c r="N40" s="14">
        <f t="shared" si="3"/>
        <v>1</v>
      </c>
      <c r="T40" s="1">
        <f t="shared" si="1"/>
        <v>46</v>
      </c>
      <c r="U40" s="4" t="str">
        <f t="shared" si="2"/>
        <v/>
      </c>
      <c r="V40" s="4" t="e">
        <f>IF($V$3=$M$3,M40,U40*(1+'Rhaniad y Ddeiliadaeth (Cymru)'!C$118))</f>
        <v>#VALUE!</v>
      </c>
      <c r="W40" s="4" t="e">
        <f>V40*(1+'Rhaniad y Ddeiliadaeth (Cymru)'!D$118)</f>
        <v>#VALUE!</v>
      </c>
      <c r="X40" s="4" t="e">
        <f>W40*(1+'Rhaniad y Ddeiliadaeth (Cymru)'!E$118)</f>
        <v>#VALUE!</v>
      </c>
      <c r="Y40" s="4" t="e">
        <f>X40*(1+'Rhaniad y Ddeiliadaeth (Cymru)'!F$118)</f>
        <v>#VALUE!</v>
      </c>
      <c r="Z40" s="4" t="e">
        <f>Y40*(1+'Rhaniad y Ddeiliadaeth (Cymru)'!G$118)</f>
        <v>#VALUE!</v>
      </c>
      <c r="AB40" s="1">
        <v>46</v>
      </c>
      <c r="AC40" s="4">
        <f>IF('Rhaniad y Ddeiliadaeth (Cymru)'!$D$18="Data Cofrestrfa Tir",'Prisiau Tai (Cymru)'!D40,'Prisiau Tai (Cymru)'!V40)</f>
        <v>147576.20148955905</v>
      </c>
      <c r="AD40" s="4">
        <f>IF('Rhaniad y Ddeiliadaeth (Cymru)'!$D$18="Data Cofrestrfa Tir",'Prisiau Tai (Cymru)'!E40,'Prisiau Tai (Cymru)'!W40)</f>
        <v>147904.78798080995</v>
      </c>
      <c r="AE40" s="4">
        <f>IF('Rhaniad y Ddeiliadaeth (Cymru)'!$D$18="Data Cofrestrfa Tir",'Prisiau Tai (Cymru)'!F40,'Prisiau Tai (Cymru)'!X40)</f>
        <v>151088.34684533891</v>
      </c>
      <c r="AF40" s="4">
        <f>IF('Rhaniad y Ddeiliadaeth (Cymru)'!$D$18="Data Cofrestrfa Tir",'Prisiau Tai (Cymru)'!G40,'Prisiau Tai (Cymru)'!Y40)</f>
        <v>156980.66674552904</v>
      </c>
      <c r="AG40" s="4">
        <f>IF('Rhaniad y Ddeiliadaeth (Cymru)'!$D$18="Data Cofrestrfa Tir",'Prisiau Tai (Cymru)'!H40,'Prisiau Tai (Cymru)'!Z40)</f>
        <v>163492.21285627951</v>
      </c>
    </row>
    <row r="41" spans="2:33" x14ac:dyDescent="0.25">
      <c r="B41" s="20">
        <v>47</v>
      </c>
      <c r="C41" s="56">
        <v>145000</v>
      </c>
      <c r="D41" s="57">
        <f>C41*(1+'Rhaniad y Ddeiliadaeth (Cymru)'!C$118)</f>
        <v>149118.8098674987</v>
      </c>
      <c r="E41" s="57">
        <f>D41*(1+'Rhaniad y Ddeiliadaeth (Cymru)'!D$118)</f>
        <v>149450.83106074875</v>
      </c>
      <c r="F41" s="57">
        <f>E41*(1+'Rhaniad y Ddeiliadaeth (Cymru)'!E$118)</f>
        <v>152667.66754407069</v>
      </c>
      <c r="G41" s="57">
        <f>F41*(1+'Rhaniad y Ddeiliadaeth (Cymru)'!F$118)</f>
        <v>158621.57963833946</v>
      </c>
      <c r="H41" s="58">
        <f>G41*(1+'Rhaniad y Ddeiliadaeth (Cymru)'!G$118)</f>
        <v>165201.19069101414</v>
      </c>
      <c r="L41" s="62" t="str">
        <f t="shared" si="0"/>
        <v/>
      </c>
      <c r="M41" s="239"/>
      <c r="N41" s="14">
        <f t="shared" si="3"/>
        <v>1</v>
      </c>
      <c r="T41" s="1">
        <f t="shared" si="1"/>
        <v>47</v>
      </c>
      <c r="U41" s="4" t="str">
        <f t="shared" si="2"/>
        <v/>
      </c>
      <c r="V41" s="4" t="e">
        <f>IF($V$3=$M$3,M41,U41*(1+'Rhaniad y Ddeiliadaeth (Cymru)'!C$118))</f>
        <v>#VALUE!</v>
      </c>
      <c r="W41" s="4" t="e">
        <f>V41*(1+'Rhaniad y Ddeiliadaeth (Cymru)'!D$118)</f>
        <v>#VALUE!</v>
      </c>
      <c r="X41" s="4" t="e">
        <f>W41*(1+'Rhaniad y Ddeiliadaeth (Cymru)'!E$118)</f>
        <v>#VALUE!</v>
      </c>
      <c r="Y41" s="4" t="e">
        <f>X41*(1+'Rhaniad y Ddeiliadaeth (Cymru)'!F$118)</f>
        <v>#VALUE!</v>
      </c>
      <c r="Z41" s="4" t="e">
        <f>Y41*(1+'Rhaniad y Ddeiliadaeth (Cymru)'!G$118)</f>
        <v>#VALUE!</v>
      </c>
      <c r="AB41" s="1">
        <v>47</v>
      </c>
      <c r="AC41" s="4">
        <f>IF('Rhaniad y Ddeiliadaeth (Cymru)'!$D$18="Data Cofrestrfa Tir",'Prisiau Tai (Cymru)'!D41,'Prisiau Tai (Cymru)'!V41)</f>
        <v>149118.8098674987</v>
      </c>
      <c r="AD41" s="4">
        <f>IF('Rhaniad y Ddeiliadaeth (Cymru)'!$D$18="Data Cofrestrfa Tir",'Prisiau Tai (Cymru)'!E41,'Prisiau Tai (Cymru)'!W41)</f>
        <v>149450.83106074875</v>
      </c>
      <c r="AE41" s="4">
        <f>IF('Rhaniad y Ddeiliadaeth (Cymru)'!$D$18="Data Cofrestrfa Tir",'Prisiau Tai (Cymru)'!F41,'Prisiau Tai (Cymru)'!X41)</f>
        <v>152667.66754407069</v>
      </c>
      <c r="AF41" s="4">
        <f>IF('Rhaniad y Ddeiliadaeth (Cymru)'!$D$18="Data Cofrestrfa Tir",'Prisiau Tai (Cymru)'!G41,'Prisiau Tai (Cymru)'!Y41)</f>
        <v>158621.57963833946</v>
      </c>
      <c r="AG41" s="4">
        <f>IF('Rhaniad y Ddeiliadaeth (Cymru)'!$D$18="Data Cofrestrfa Tir",'Prisiau Tai (Cymru)'!H41,'Prisiau Tai (Cymru)'!Z41)</f>
        <v>165201.19069101414</v>
      </c>
    </row>
    <row r="42" spans="2:33" x14ac:dyDescent="0.25">
      <c r="B42" s="20">
        <v>48</v>
      </c>
      <c r="C42" s="56">
        <v>147000</v>
      </c>
      <c r="D42" s="57">
        <f>C42*(1+'Rhaniad y Ddeiliadaeth (Cymru)'!C$118)</f>
        <v>151175.62103808488</v>
      </c>
      <c r="E42" s="57">
        <f>D42*(1+'Rhaniad y Ddeiliadaeth (Cymru)'!D$118)</f>
        <v>151512.22183400043</v>
      </c>
      <c r="F42" s="57">
        <f>E42*(1+'Rhaniad y Ddeiliadaeth (Cymru)'!E$118)</f>
        <v>154773.42847571304</v>
      </c>
      <c r="G42" s="57">
        <f>F42*(1+'Rhaniad y Ddeiliadaeth (Cymru)'!F$118)</f>
        <v>160809.46349542</v>
      </c>
      <c r="H42" s="58">
        <f>G42*(1+'Rhaniad y Ddeiliadaeth (Cymru)'!G$118)</f>
        <v>167479.82780399366</v>
      </c>
      <c r="L42" s="62" t="str">
        <f t="shared" si="0"/>
        <v/>
      </c>
      <c r="M42" s="239"/>
      <c r="N42" s="14">
        <f t="shared" si="3"/>
        <v>1</v>
      </c>
      <c r="T42" s="1">
        <f t="shared" si="1"/>
        <v>48</v>
      </c>
      <c r="U42" s="4" t="str">
        <f t="shared" si="2"/>
        <v/>
      </c>
      <c r="V42" s="4" t="e">
        <f>IF($V$3=$M$3,M42,U42*(1+'Rhaniad y Ddeiliadaeth (Cymru)'!C$118))</f>
        <v>#VALUE!</v>
      </c>
      <c r="W42" s="4" t="e">
        <f>V42*(1+'Rhaniad y Ddeiliadaeth (Cymru)'!D$118)</f>
        <v>#VALUE!</v>
      </c>
      <c r="X42" s="4" t="e">
        <f>W42*(1+'Rhaniad y Ddeiliadaeth (Cymru)'!E$118)</f>
        <v>#VALUE!</v>
      </c>
      <c r="Y42" s="4" t="e">
        <f>X42*(1+'Rhaniad y Ddeiliadaeth (Cymru)'!F$118)</f>
        <v>#VALUE!</v>
      </c>
      <c r="Z42" s="4" t="e">
        <f>Y42*(1+'Rhaniad y Ddeiliadaeth (Cymru)'!G$118)</f>
        <v>#VALUE!</v>
      </c>
      <c r="AB42" s="1">
        <v>48</v>
      </c>
      <c r="AC42" s="4">
        <f>IF('Rhaniad y Ddeiliadaeth (Cymru)'!$D$18="Data Cofrestrfa Tir",'Prisiau Tai (Cymru)'!D42,'Prisiau Tai (Cymru)'!V42)</f>
        <v>151175.62103808488</v>
      </c>
      <c r="AD42" s="4">
        <f>IF('Rhaniad y Ddeiliadaeth (Cymru)'!$D$18="Data Cofrestrfa Tir",'Prisiau Tai (Cymru)'!E42,'Prisiau Tai (Cymru)'!W42)</f>
        <v>151512.22183400043</v>
      </c>
      <c r="AE42" s="4">
        <f>IF('Rhaniad y Ddeiliadaeth (Cymru)'!$D$18="Data Cofrestrfa Tir",'Prisiau Tai (Cymru)'!F42,'Prisiau Tai (Cymru)'!X42)</f>
        <v>154773.42847571304</v>
      </c>
      <c r="AF42" s="4">
        <f>IF('Rhaniad y Ddeiliadaeth (Cymru)'!$D$18="Data Cofrestrfa Tir",'Prisiau Tai (Cymru)'!G42,'Prisiau Tai (Cymru)'!Y42)</f>
        <v>160809.46349542</v>
      </c>
      <c r="AG42" s="4">
        <f>IF('Rhaniad y Ddeiliadaeth (Cymru)'!$D$18="Data Cofrestrfa Tir",'Prisiau Tai (Cymru)'!H42,'Prisiau Tai (Cymru)'!Z42)</f>
        <v>167479.82780399366</v>
      </c>
    </row>
    <row r="43" spans="2:33" x14ac:dyDescent="0.25">
      <c r="B43" s="20">
        <v>49</v>
      </c>
      <c r="C43" s="56">
        <v>149995</v>
      </c>
      <c r="D43" s="57">
        <f>C43*(1+'Rhaniad y Ddeiliadaeth (Cymru)'!C$118)</f>
        <v>154255.69576603771</v>
      </c>
      <c r="E43" s="57">
        <f>D43*(1+'Rhaniad y Ddeiliadaeth (Cymru)'!D$118)</f>
        <v>154599.15451694489</v>
      </c>
      <c r="F43" s="57">
        <f>E43*(1+'Rhaniad y Ddeiliadaeth (Cymru)'!E$118)</f>
        <v>157926.8054708475</v>
      </c>
      <c r="G43" s="57">
        <f>F43*(1+'Rhaniad y Ddeiliadaeth (Cymru)'!F$118)</f>
        <v>164085.81957139817</v>
      </c>
      <c r="H43" s="58">
        <f>G43*(1+'Rhaniad y Ddeiliadaeth (Cymru)'!G$118)</f>
        <v>170892.08688068052</v>
      </c>
      <c r="L43" s="62" t="str">
        <f t="shared" si="0"/>
        <v/>
      </c>
      <c r="M43" s="239"/>
      <c r="N43" s="14">
        <f t="shared" si="3"/>
        <v>1</v>
      </c>
      <c r="T43" s="1">
        <f t="shared" si="1"/>
        <v>49</v>
      </c>
      <c r="U43" s="4" t="str">
        <f t="shared" si="2"/>
        <v/>
      </c>
      <c r="V43" s="4" t="e">
        <f>IF($V$3=$M$3,M43,U43*(1+'Rhaniad y Ddeiliadaeth (Cymru)'!C$118))</f>
        <v>#VALUE!</v>
      </c>
      <c r="W43" s="4" t="e">
        <f>V43*(1+'Rhaniad y Ddeiliadaeth (Cymru)'!D$118)</f>
        <v>#VALUE!</v>
      </c>
      <c r="X43" s="4" t="e">
        <f>W43*(1+'Rhaniad y Ddeiliadaeth (Cymru)'!E$118)</f>
        <v>#VALUE!</v>
      </c>
      <c r="Y43" s="4" t="e">
        <f>X43*(1+'Rhaniad y Ddeiliadaeth (Cymru)'!F$118)</f>
        <v>#VALUE!</v>
      </c>
      <c r="Z43" s="4" t="e">
        <f>Y43*(1+'Rhaniad y Ddeiliadaeth (Cymru)'!G$118)</f>
        <v>#VALUE!</v>
      </c>
      <c r="AB43" s="1">
        <v>49</v>
      </c>
      <c r="AC43" s="4">
        <f>IF('Rhaniad y Ddeiliadaeth (Cymru)'!$D$18="Data Cofrestrfa Tir",'Prisiau Tai (Cymru)'!D43,'Prisiau Tai (Cymru)'!V43)</f>
        <v>154255.69576603771</v>
      </c>
      <c r="AD43" s="4">
        <f>IF('Rhaniad y Ddeiliadaeth (Cymru)'!$D$18="Data Cofrestrfa Tir",'Prisiau Tai (Cymru)'!E43,'Prisiau Tai (Cymru)'!W43)</f>
        <v>154599.15451694489</v>
      </c>
      <c r="AE43" s="4">
        <f>IF('Rhaniad y Ddeiliadaeth (Cymru)'!$D$18="Data Cofrestrfa Tir",'Prisiau Tai (Cymru)'!F43,'Prisiau Tai (Cymru)'!X43)</f>
        <v>157926.8054708475</v>
      </c>
      <c r="AF43" s="4">
        <f>IF('Rhaniad y Ddeiliadaeth (Cymru)'!$D$18="Data Cofrestrfa Tir",'Prisiau Tai (Cymru)'!G43,'Prisiau Tai (Cymru)'!Y43)</f>
        <v>164085.81957139817</v>
      </c>
      <c r="AG43" s="4">
        <f>IF('Rhaniad y Ddeiliadaeth (Cymru)'!$D$18="Data Cofrestrfa Tir",'Prisiau Tai (Cymru)'!H43,'Prisiau Tai (Cymru)'!Z43)</f>
        <v>170892.08688068052</v>
      </c>
    </row>
    <row r="44" spans="2:33" x14ac:dyDescent="0.25">
      <c r="B44" s="20">
        <v>50</v>
      </c>
      <c r="C44" s="56">
        <v>150000</v>
      </c>
      <c r="D44" s="57">
        <f>C44*(1+'Rhaniad y Ddeiliadaeth (Cymru)'!C$118)</f>
        <v>154260.83779396417</v>
      </c>
      <c r="E44" s="57">
        <f>D44*(1+'Rhaniad y Ddeiliadaeth (Cymru)'!D$118)</f>
        <v>154604.307993878</v>
      </c>
      <c r="F44" s="57">
        <f>E44*(1+'Rhaniad y Ddeiliadaeth (Cymru)'!E$118)</f>
        <v>157932.06987317657</v>
      </c>
      <c r="G44" s="57">
        <f>F44*(1+'Rhaniad y Ddeiliadaeth (Cymru)'!F$118)</f>
        <v>164091.28928104084</v>
      </c>
      <c r="H44" s="58">
        <f>G44*(1+'Rhaniad y Ddeiliadaeth (Cymru)'!G$118)</f>
        <v>170897.78347346291</v>
      </c>
      <c r="L44" s="62" t="str">
        <f t="shared" si="0"/>
        <v/>
      </c>
      <c r="M44" s="239"/>
      <c r="N44" s="14">
        <f t="shared" si="3"/>
        <v>1</v>
      </c>
      <c r="T44" s="1">
        <f t="shared" si="1"/>
        <v>50</v>
      </c>
      <c r="U44" s="4" t="str">
        <f t="shared" si="2"/>
        <v/>
      </c>
      <c r="V44" s="4" t="e">
        <f>IF($V$3=$M$3,M44,U44*(1+'Rhaniad y Ddeiliadaeth (Cymru)'!C$118))</f>
        <v>#VALUE!</v>
      </c>
      <c r="W44" s="4" t="e">
        <f>V44*(1+'Rhaniad y Ddeiliadaeth (Cymru)'!D$118)</f>
        <v>#VALUE!</v>
      </c>
      <c r="X44" s="4" t="e">
        <f>W44*(1+'Rhaniad y Ddeiliadaeth (Cymru)'!E$118)</f>
        <v>#VALUE!</v>
      </c>
      <c r="Y44" s="4" t="e">
        <f>X44*(1+'Rhaniad y Ddeiliadaeth (Cymru)'!F$118)</f>
        <v>#VALUE!</v>
      </c>
      <c r="Z44" s="4" t="e">
        <f>Y44*(1+'Rhaniad y Ddeiliadaeth (Cymru)'!G$118)</f>
        <v>#VALUE!</v>
      </c>
      <c r="AB44" s="1">
        <v>50</v>
      </c>
      <c r="AC44" s="4">
        <f>IF('Rhaniad y Ddeiliadaeth (Cymru)'!$D$18="Data Cofrestrfa Tir",'Prisiau Tai (Cymru)'!D44,'Prisiau Tai (Cymru)'!V44)</f>
        <v>154260.83779396417</v>
      </c>
      <c r="AD44" s="4">
        <f>IF('Rhaniad y Ddeiliadaeth (Cymru)'!$D$18="Data Cofrestrfa Tir",'Prisiau Tai (Cymru)'!E44,'Prisiau Tai (Cymru)'!W44)</f>
        <v>154604.307993878</v>
      </c>
      <c r="AE44" s="4">
        <f>IF('Rhaniad y Ddeiliadaeth (Cymru)'!$D$18="Data Cofrestrfa Tir",'Prisiau Tai (Cymru)'!F44,'Prisiau Tai (Cymru)'!X44)</f>
        <v>157932.06987317657</v>
      </c>
      <c r="AF44" s="4">
        <f>IF('Rhaniad y Ddeiliadaeth (Cymru)'!$D$18="Data Cofrestrfa Tir",'Prisiau Tai (Cymru)'!G44,'Prisiau Tai (Cymru)'!Y44)</f>
        <v>164091.28928104084</v>
      </c>
      <c r="AG44" s="4">
        <f>IF('Rhaniad y Ddeiliadaeth (Cymru)'!$D$18="Data Cofrestrfa Tir",'Prisiau Tai (Cymru)'!H44,'Prisiau Tai (Cymru)'!Z44)</f>
        <v>170897.78347346291</v>
      </c>
    </row>
    <row r="45" spans="2:33" x14ac:dyDescent="0.25">
      <c r="B45" s="20">
        <v>51</v>
      </c>
      <c r="C45" s="56">
        <v>153000</v>
      </c>
      <c r="D45" s="57">
        <f>C45*(1+'Rhaniad y Ddeiliadaeth (Cymru)'!C$118)</f>
        <v>157346.05454984345</v>
      </c>
      <c r="E45" s="57">
        <f>D45*(1+'Rhaniad y Ddeiliadaeth (Cymru)'!D$118)</f>
        <v>157696.39415375557</v>
      </c>
      <c r="F45" s="57">
        <f>E45*(1+'Rhaniad y Ddeiliadaeth (Cymru)'!E$118)</f>
        <v>161090.71127064011</v>
      </c>
      <c r="G45" s="57">
        <f>F45*(1+'Rhaniad y Ddeiliadaeth (Cymru)'!F$118)</f>
        <v>167373.11506666164</v>
      </c>
      <c r="H45" s="58">
        <f>G45*(1+'Rhaniad y Ddeiliadaeth (Cymru)'!G$118)</f>
        <v>174315.73914293217</v>
      </c>
      <c r="L45" s="62" t="str">
        <f t="shared" si="0"/>
        <v/>
      </c>
      <c r="M45" s="239"/>
      <c r="N45" s="14">
        <f t="shared" si="3"/>
        <v>1</v>
      </c>
      <c r="T45" s="1">
        <f t="shared" si="1"/>
        <v>51</v>
      </c>
      <c r="U45" s="4" t="str">
        <f t="shared" si="2"/>
        <v/>
      </c>
      <c r="V45" s="4" t="e">
        <f>IF($V$3=$M$3,M45,U45*(1+'Rhaniad y Ddeiliadaeth (Cymru)'!C$118))</f>
        <v>#VALUE!</v>
      </c>
      <c r="W45" s="4" t="e">
        <f>V45*(1+'Rhaniad y Ddeiliadaeth (Cymru)'!D$118)</f>
        <v>#VALUE!</v>
      </c>
      <c r="X45" s="4" t="e">
        <f>W45*(1+'Rhaniad y Ddeiliadaeth (Cymru)'!E$118)</f>
        <v>#VALUE!</v>
      </c>
      <c r="Y45" s="4" t="e">
        <f>X45*(1+'Rhaniad y Ddeiliadaeth (Cymru)'!F$118)</f>
        <v>#VALUE!</v>
      </c>
      <c r="Z45" s="4" t="e">
        <f>Y45*(1+'Rhaniad y Ddeiliadaeth (Cymru)'!G$118)</f>
        <v>#VALUE!</v>
      </c>
      <c r="AB45" s="1">
        <v>51</v>
      </c>
      <c r="AC45" s="4">
        <f>IF('Rhaniad y Ddeiliadaeth (Cymru)'!$D$18="Data Cofrestrfa Tir",'Prisiau Tai (Cymru)'!D45,'Prisiau Tai (Cymru)'!V45)</f>
        <v>157346.05454984345</v>
      </c>
      <c r="AD45" s="4">
        <f>IF('Rhaniad y Ddeiliadaeth (Cymru)'!$D$18="Data Cofrestrfa Tir",'Prisiau Tai (Cymru)'!E45,'Prisiau Tai (Cymru)'!W45)</f>
        <v>157696.39415375557</v>
      </c>
      <c r="AE45" s="4">
        <f>IF('Rhaniad y Ddeiliadaeth (Cymru)'!$D$18="Data Cofrestrfa Tir",'Prisiau Tai (Cymru)'!F45,'Prisiau Tai (Cymru)'!X45)</f>
        <v>161090.71127064011</v>
      </c>
      <c r="AF45" s="4">
        <f>IF('Rhaniad y Ddeiliadaeth (Cymru)'!$D$18="Data Cofrestrfa Tir",'Prisiau Tai (Cymru)'!G45,'Prisiau Tai (Cymru)'!Y45)</f>
        <v>167373.11506666164</v>
      </c>
      <c r="AG45" s="4">
        <f>IF('Rhaniad y Ddeiliadaeth (Cymru)'!$D$18="Data Cofrestrfa Tir",'Prisiau Tai (Cymru)'!H45,'Prisiau Tai (Cymru)'!Z45)</f>
        <v>174315.73914293217</v>
      </c>
    </row>
    <row r="46" spans="2:33" x14ac:dyDescent="0.25">
      <c r="B46" s="20">
        <v>52</v>
      </c>
      <c r="C46" s="56">
        <v>155000</v>
      </c>
      <c r="D46" s="57">
        <f>C46*(1+'Rhaniad y Ddeiliadaeth (Cymru)'!C$118)</f>
        <v>159402.86572042963</v>
      </c>
      <c r="E46" s="57">
        <f>D46*(1+'Rhaniad y Ddeiliadaeth (Cymru)'!D$118)</f>
        <v>159757.78492700728</v>
      </c>
      <c r="F46" s="57">
        <f>E46*(1+'Rhaniad y Ddeiliadaeth (Cymru)'!E$118)</f>
        <v>163196.47220228246</v>
      </c>
      <c r="G46" s="57">
        <f>F46*(1+'Rhaniad y Ddeiliadaeth (Cymru)'!F$118)</f>
        <v>169560.99892374218</v>
      </c>
      <c r="H46" s="58">
        <f>G46*(1+'Rhaniad y Ddeiliadaeth (Cymru)'!G$118)</f>
        <v>176594.37625591166</v>
      </c>
      <c r="L46" s="62" t="str">
        <f t="shared" si="0"/>
        <v/>
      </c>
      <c r="M46" s="239"/>
      <c r="N46" s="14">
        <f t="shared" si="3"/>
        <v>1</v>
      </c>
      <c r="T46" s="1">
        <f t="shared" si="1"/>
        <v>52</v>
      </c>
      <c r="U46" s="4" t="str">
        <f t="shared" si="2"/>
        <v/>
      </c>
      <c r="V46" s="4" t="e">
        <f>IF($V$3=$M$3,M46,U46*(1+'Rhaniad y Ddeiliadaeth (Cymru)'!C$118))</f>
        <v>#VALUE!</v>
      </c>
      <c r="W46" s="4" t="e">
        <f>V46*(1+'Rhaniad y Ddeiliadaeth (Cymru)'!D$118)</f>
        <v>#VALUE!</v>
      </c>
      <c r="X46" s="4" t="e">
        <f>W46*(1+'Rhaniad y Ddeiliadaeth (Cymru)'!E$118)</f>
        <v>#VALUE!</v>
      </c>
      <c r="Y46" s="4" t="e">
        <f>X46*(1+'Rhaniad y Ddeiliadaeth (Cymru)'!F$118)</f>
        <v>#VALUE!</v>
      </c>
      <c r="Z46" s="4" t="e">
        <f>Y46*(1+'Rhaniad y Ddeiliadaeth (Cymru)'!G$118)</f>
        <v>#VALUE!</v>
      </c>
      <c r="AB46" s="1">
        <v>52</v>
      </c>
      <c r="AC46" s="4">
        <f>IF('Rhaniad y Ddeiliadaeth (Cymru)'!$D$18="Data Cofrestrfa Tir",'Prisiau Tai (Cymru)'!D46,'Prisiau Tai (Cymru)'!V46)</f>
        <v>159402.86572042963</v>
      </c>
      <c r="AD46" s="4">
        <f>IF('Rhaniad y Ddeiliadaeth (Cymru)'!$D$18="Data Cofrestrfa Tir",'Prisiau Tai (Cymru)'!E46,'Prisiau Tai (Cymru)'!W46)</f>
        <v>159757.78492700728</v>
      </c>
      <c r="AE46" s="4">
        <f>IF('Rhaniad y Ddeiliadaeth (Cymru)'!$D$18="Data Cofrestrfa Tir",'Prisiau Tai (Cymru)'!F46,'Prisiau Tai (Cymru)'!X46)</f>
        <v>163196.47220228246</v>
      </c>
      <c r="AF46" s="4">
        <f>IF('Rhaniad y Ddeiliadaeth (Cymru)'!$D$18="Data Cofrestrfa Tir",'Prisiau Tai (Cymru)'!G46,'Prisiau Tai (Cymru)'!Y46)</f>
        <v>169560.99892374218</v>
      </c>
      <c r="AG46" s="4">
        <f>IF('Rhaniad y Ddeiliadaeth (Cymru)'!$D$18="Data Cofrestrfa Tir",'Prisiau Tai (Cymru)'!H46,'Prisiau Tai (Cymru)'!Z46)</f>
        <v>176594.37625591166</v>
      </c>
    </row>
    <row r="47" spans="2:33" x14ac:dyDescent="0.25">
      <c r="B47" s="20">
        <v>53</v>
      </c>
      <c r="C47" s="56">
        <v>157500</v>
      </c>
      <c r="D47" s="57">
        <f>C47*(1+'Rhaniad y Ddeiliadaeth (Cymru)'!C$118)</f>
        <v>161973.87968366238</v>
      </c>
      <c r="E47" s="57">
        <f>D47*(1+'Rhaniad y Ddeiliadaeth (Cymru)'!D$118)</f>
        <v>162334.5233935719</v>
      </c>
      <c r="F47" s="57">
        <f>E47*(1+'Rhaniad y Ddeiliadaeth (Cymru)'!E$118)</f>
        <v>165828.6733668354</v>
      </c>
      <c r="G47" s="57">
        <f>F47*(1+'Rhaniad y Ddeiliadaeth (Cymru)'!F$118)</f>
        <v>172295.85374509287</v>
      </c>
      <c r="H47" s="58">
        <f>G47*(1+'Rhaniad y Ddeiliadaeth (Cymru)'!G$118)</f>
        <v>179442.67264713606</v>
      </c>
      <c r="L47" s="62" t="str">
        <f t="shared" si="0"/>
        <v/>
      </c>
      <c r="M47" s="239"/>
      <c r="N47" s="14">
        <f t="shared" si="3"/>
        <v>1</v>
      </c>
      <c r="T47" s="1">
        <f t="shared" si="1"/>
        <v>53</v>
      </c>
      <c r="U47" s="4" t="str">
        <f t="shared" si="2"/>
        <v/>
      </c>
      <c r="V47" s="4" t="e">
        <f>IF($V$3=$M$3,M47,U47*(1+'Rhaniad y Ddeiliadaeth (Cymru)'!C$118))</f>
        <v>#VALUE!</v>
      </c>
      <c r="W47" s="4" t="e">
        <f>V47*(1+'Rhaniad y Ddeiliadaeth (Cymru)'!D$118)</f>
        <v>#VALUE!</v>
      </c>
      <c r="X47" s="4" t="e">
        <f>W47*(1+'Rhaniad y Ddeiliadaeth (Cymru)'!E$118)</f>
        <v>#VALUE!</v>
      </c>
      <c r="Y47" s="4" t="e">
        <f>X47*(1+'Rhaniad y Ddeiliadaeth (Cymru)'!F$118)</f>
        <v>#VALUE!</v>
      </c>
      <c r="Z47" s="4" t="e">
        <f>Y47*(1+'Rhaniad y Ddeiliadaeth (Cymru)'!G$118)</f>
        <v>#VALUE!</v>
      </c>
      <c r="AB47" s="1">
        <v>53</v>
      </c>
      <c r="AC47" s="4">
        <f>IF('Rhaniad y Ddeiliadaeth (Cymru)'!$D$18="Data Cofrestrfa Tir",'Prisiau Tai (Cymru)'!D47,'Prisiau Tai (Cymru)'!V47)</f>
        <v>161973.87968366238</v>
      </c>
      <c r="AD47" s="4">
        <f>IF('Rhaniad y Ddeiliadaeth (Cymru)'!$D$18="Data Cofrestrfa Tir",'Prisiau Tai (Cymru)'!E47,'Prisiau Tai (Cymru)'!W47)</f>
        <v>162334.5233935719</v>
      </c>
      <c r="AE47" s="4">
        <f>IF('Rhaniad y Ddeiliadaeth (Cymru)'!$D$18="Data Cofrestrfa Tir",'Prisiau Tai (Cymru)'!F47,'Prisiau Tai (Cymru)'!X47)</f>
        <v>165828.6733668354</v>
      </c>
      <c r="AF47" s="4">
        <f>IF('Rhaniad y Ddeiliadaeth (Cymru)'!$D$18="Data Cofrestrfa Tir",'Prisiau Tai (Cymru)'!G47,'Prisiau Tai (Cymru)'!Y47)</f>
        <v>172295.85374509287</v>
      </c>
      <c r="AG47" s="4">
        <f>IF('Rhaniad y Ddeiliadaeth (Cymru)'!$D$18="Data Cofrestrfa Tir",'Prisiau Tai (Cymru)'!H47,'Prisiau Tai (Cymru)'!Z47)</f>
        <v>179442.67264713606</v>
      </c>
    </row>
    <row r="48" spans="2:33" x14ac:dyDescent="0.25">
      <c r="B48" s="20">
        <v>54</v>
      </c>
      <c r="C48" s="56">
        <v>160000</v>
      </c>
      <c r="D48" s="57">
        <f>C48*(1+'Rhaniad y Ddeiliadaeth (Cymru)'!C$118)</f>
        <v>164544.8936468951</v>
      </c>
      <c r="E48" s="57">
        <f>D48*(1+'Rhaniad y Ddeiliadaeth (Cymru)'!D$118)</f>
        <v>164911.26186013652</v>
      </c>
      <c r="F48" s="57">
        <f>E48*(1+'Rhaniad y Ddeiliadaeth (Cymru)'!E$118)</f>
        <v>168460.87453138831</v>
      </c>
      <c r="G48" s="57">
        <f>F48*(1+'Rhaniad y Ddeiliadaeth (Cymru)'!F$118)</f>
        <v>175030.70856644353</v>
      </c>
      <c r="H48" s="58">
        <f>G48*(1+'Rhaniad y Ddeiliadaeth (Cymru)'!G$118)</f>
        <v>182290.96903836043</v>
      </c>
      <c r="L48" s="62" t="str">
        <f t="shared" si="0"/>
        <v/>
      </c>
      <c r="M48" s="239"/>
      <c r="N48" s="14">
        <f t="shared" si="3"/>
        <v>1</v>
      </c>
      <c r="T48" s="1">
        <f t="shared" si="1"/>
        <v>54</v>
      </c>
      <c r="U48" s="4" t="str">
        <f t="shared" si="2"/>
        <v/>
      </c>
      <c r="V48" s="4" t="e">
        <f>IF($V$3=$M$3,M48,U48*(1+'Rhaniad y Ddeiliadaeth (Cymru)'!C$118))</f>
        <v>#VALUE!</v>
      </c>
      <c r="W48" s="4" t="e">
        <f>V48*(1+'Rhaniad y Ddeiliadaeth (Cymru)'!D$118)</f>
        <v>#VALUE!</v>
      </c>
      <c r="X48" s="4" t="e">
        <f>W48*(1+'Rhaniad y Ddeiliadaeth (Cymru)'!E$118)</f>
        <v>#VALUE!</v>
      </c>
      <c r="Y48" s="4" t="e">
        <f>X48*(1+'Rhaniad y Ddeiliadaeth (Cymru)'!F$118)</f>
        <v>#VALUE!</v>
      </c>
      <c r="Z48" s="4" t="e">
        <f>Y48*(1+'Rhaniad y Ddeiliadaeth (Cymru)'!G$118)</f>
        <v>#VALUE!</v>
      </c>
      <c r="AB48" s="1">
        <v>54</v>
      </c>
      <c r="AC48" s="4">
        <f>IF('Rhaniad y Ddeiliadaeth (Cymru)'!$D$18="Data Cofrestrfa Tir",'Prisiau Tai (Cymru)'!D48,'Prisiau Tai (Cymru)'!V48)</f>
        <v>164544.8936468951</v>
      </c>
      <c r="AD48" s="4">
        <f>IF('Rhaniad y Ddeiliadaeth (Cymru)'!$D$18="Data Cofrestrfa Tir",'Prisiau Tai (Cymru)'!E48,'Prisiau Tai (Cymru)'!W48)</f>
        <v>164911.26186013652</v>
      </c>
      <c r="AE48" s="4">
        <f>IF('Rhaniad y Ddeiliadaeth (Cymru)'!$D$18="Data Cofrestrfa Tir",'Prisiau Tai (Cymru)'!F48,'Prisiau Tai (Cymru)'!X48)</f>
        <v>168460.87453138831</v>
      </c>
      <c r="AF48" s="4">
        <f>IF('Rhaniad y Ddeiliadaeth (Cymru)'!$D$18="Data Cofrestrfa Tir",'Prisiau Tai (Cymru)'!G48,'Prisiau Tai (Cymru)'!Y48)</f>
        <v>175030.70856644353</v>
      </c>
      <c r="AG48" s="4">
        <f>IF('Rhaniad y Ddeiliadaeth (Cymru)'!$D$18="Data Cofrestrfa Tir",'Prisiau Tai (Cymru)'!H48,'Prisiau Tai (Cymru)'!Z48)</f>
        <v>182290.96903836043</v>
      </c>
    </row>
    <row r="49" spans="2:33" x14ac:dyDescent="0.25">
      <c r="B49" s="20">
        <v>55</v>
      </c>
      <c r="C49" s="56">
        <v>160000</v>
      </c>
      <c r="D49" s="57">
        <f>C49*(1+'Rhaniad y Ddeiliadaeth (Cymru)'!C$118)</f>
        <v>164544.8936468951</v>
      </c>
      <c r="E49" s="57">
        <f>D49*(1+'Rhaniad y Ddeiliadaeth (Cymru)'!D$118)</f>
        <v>164911.26186013652</v>
      </c>
      <c r="F49" s="57">
        <f>E49*(1+'Rhaniad y Ddeiliadaeth (Cymru)'!E$118)</f>
        <v>168460.87453138831</v>
      </c>
      <c r="G49" s="57">
        <f>F49*(1+'Rhaniad y Ddeiliadaeth (Cymru)'!F$118)</f>
        <v>175030.70856644353</v>
      </c>
      <c r="H49" s="58">
        <f>G49*(1+'Rhaniad y Ddeiliadaeth (Cymru)'!G$118)</f>
        <v>182290.96903836043</v>
      </c>
      <c r="L49" s="62" t="str">
        <f t="shared" si="0"/>
        <v/>
      </c>
      <c r="M49" s="239"/>
      <c r="N49" s="14">
        <f t="shared" si="3"/>
        <v>1</v>
      </c>
      <c r="T49" s="1">
        <f t="shared" si="1"/>
        <v>55</v>
      </c>
      <c r="U49" s="4" t="str">
        <f t="shared" si="2"/>
        <v/>
      </c>
      <c r="V49" s="4" t="e">
        <f>IF($V$3=$M$3,M49,U49*(1+'Rhaniad y Ddeiliadaeth (Cymru)'!C$118))</f>
        <v>#VALUE!</v>
      </c>
      <c r="W49" s="4" t="e">
        <f>V49*(1+'Rhaniad y Ddeiliadaeth (Cymru)'!D$118)</f>
        <v>#VALUE!</v>
      </c>
      <c r="X49" s="4" t="e">
        <f>W49*(1+'Rhaniad y Ddeiliadaeth (Cymru)'!E$118)</f>
        <v>#VALUE!</v>
      </c>
      <c r="Y49" s="4" t="e">
        <f>X49*(1+'Rhaniad y Ddeiliadaeth (Cymru)'!F$118)</f>
        <v>#VALUE!</v>
      </c>
      <c r="Z49" s="4" t="e">
        <f>Y49*(1+'Rhaniad y Ddeiliadaeth (Cymru)'!G$118)</f>
        <v>#VALUE!</v>
      </c>
      <c r="AB49" s="1">
        <v>55</v>
      </c>
      <c r="AC49" s="4">
        <f>IF('Rhaniad y Ddeiliadaeth (Cymru)'!$D$18="Data Cofrestrfa Tir",'Prisiau Tai (Cymru)'!D49,'Prisiau Tai (Cymru)'!V49)</f>
        <v>164544.8936468951</v>
      </c>
      <c r="AD49" s="4">
        <f>IF('Rhaniad y Ddeiliadaeth (Cymru)'!$D$18="Data Cofrestrfa Tir",'Prisiau Tai (Cymru)'!E49,'Prisiau Tai (Cymru)'!W49)</f>
        <v>164911.26186013652</v>
      </c>
      <c r="AE49" s="4">
        <f>IF('Rhaniad y Ddeiliadaeth (Cymru)'!$D$18="Data Cofrestrfa Tir",'Prisiau Tai (Cymru)'!F49,'Prisiau Tai (Cymru)'!X49)</f>
        <v>168460.87453138831</v>
      </c>
      <c r="AF49" s="4">
        <f>IF('Rhaniad y Ddeiliadaeth (Cymru)'!$D$18="Data Cofrestrfa Tir",'Prisiau Tai (Cymru)'!G49,'Prisiau Tai (Cymru)'!Y49)</f>
        <v>175030.70856644353</v>
      </c>
      <c r="AG49" s="4">
        <f>IF('Rhaniad y Ddeiliadaeth (Cymru)'!$D$18="Data Cofrestrfa Tir",'Prisiau Tai (Cymru)'!H49,'Prisiau Tai (Cymru)'!Z49)</f>
        <v>182290.96903836043</v>
      </c>
    </row>
    <row r="50" spans="2:33" x14ac:dyDescent="0.25">
      <c r="B50" s="20">
        <v>56</v>
      </c>
      <c r="C50" s="56">
        <v>163590.00000000032</v>
      </c>
      <c r="D50" s="57">
        <f>C50*(1+'Rhaniad y Ddeiliadaeth (Cymru)'!C$118)</f>
        <v>168236.86969809764</v>
      </c>
      <c r="E50" s="57">
        <f>D50*(1+'Rhaniad y Ddeiliadaeth (Cymru)'!D$118)</f>
        <v>168611.45829812367</v>
      </c>
      <c r="F50" s="57">
        <f>E50*(1+'Rhaniad y Ddeiliadaeth (Cymru)'!E$118)</f>
        <v>172240.71540368669</v>
      </c>
      <c r="G50" s="57">
        <f>F50*(1+'Rhaniad y Ddeiliadaeth (Cymru)'!F$118)</f>
        <v>178957.96008990347</v>
      </c>
      <c r="H50" s="58">
        <f>G50*(1+'Rhaniad y Ddeiliadaeth (Cymru)'!G$118)</f>
        <v>186381.12265615902</v>
      </c>
      <c r="L50" s="62" t="str">
        <f t="shared" si="0"/>
        <v/>
      </c>
      <c r="M50" s="239"/>
      <c r="N50" s="14">
        <f t="shared" si="3"/>
        <v>1</v>
      </c>
      <c r="T50" s="1">
        <f t="shared" si="1"/>
        <v>56</v>
      </c>
      <c r="U50" s="4" t="str">
        <f t="shared" si="2"/>
        <v/>
      </c>
      <c r="V50" s="4" t="e">
        <f>IF($V$3=$M$3,M50,U50*(1+'Rhaniad y Ddeiliadaeth (Cymru)'!C$118))</f>
        <v>#VALUE!</v>
      </c>
      <c r="W50" s="4" t="e">
        <f>V50*(1+'Rhaniad y Ddeiliadaeth (Cymru)'!D$118)</f>
        <v>#VALUE!</v>
      </c>
      <c r="X50" s="4" t="e">
        <f>W50*(1+'Rhaniad y Ddeiliadaeth (Cymru)'!E$118)</f>
        <v>#VALUE!</v>
      </c>
      <c r="Y50" s="4" t="e">
        <f>X50*(1+'Rhaniad y Ddeiliadaeth (Cymru)'!F$118)</f>
        <v>#VALUE!</v>
      </c>
      <c r="Z50" s="4" t="e">
        <f>Y50*(1+'Rhaniad y Ddeiliadaeth (Cymru)'!G$118)</f>
        <v>#VALUE!</v>
      </c>
      <c r="AB50" s="1">
        <v>56</v>
      </c>
      <c r="AC50" s="4">
        <f>IF('Rhaniad y Ddeiliadaeth (Cymru)'!$D$18="Data Cofrestrfa Tir",'Prisiau Tai (Cymru)'!D50,'Prisiau Tai (Cymru)'!V50)</f>
        <v>168236.86969809764</v>
      </c>
      <c r="AD50" s="4">
        <f>IF('Rhaniad y Ddeiliadaeth (Cymru)'!$D$18="Data Cofrestrfa Tir",'Prisiau Tai (Cymru)'!E50,'Prisiau Tai (Cymru)'!W50)</f>
        <v>168611.45829812367</v>
      </c>
      <c r="AE50" s="4">
        <f>IF('Rhaniad y Ddeiliadaeth (Cymru)'!$D$18="Data Cofrestrfa Tir",'Prisiau Tai (Cymru)'!F50,'Prisiau Tai (Cymru)'!X50)</f>
        <v>172240.71540368669</v>
      </c>
      <c r="AF50" s="4">
        <f>IF('Rhaniad y Ddeiliadaeth (Cymru)'!$D$18="Data Cofrestrfa Tir",'Prisiau Tai (Cymru)'!G50,'Prisiau Tai (Cymru)'!Y50)</f>
        <v>178957.96008990347</v>
      </c>
      <c r="AG50" s="4">
        <f>IF('Rhaniad y Ddeiliadaeth (Cymru)'!$D$18="Data Cofrestrfa Tir",'Prisiau Tai (Cymru)'!H50,'Prisiau Tai (Cymru)'!Z50)</f>
        <v>186381.12265615902</v>
      </c>
    </row>
    <row r="51" spans="2:33" x14ac:dyDescent="0.25">
      <c r="B51" s="20">
        <v>57</v>
      </c>
      <c r="C51" s="56">
        <v>165000</v>
      </c>
      <c r="D51" s="57">
        <f>C51*(1+'Rhaniad y Ddeiliadaeth (Cymru)'!C$118)</f>
        <v>169686.9215733606</v>
      </c>
      <c r="E51" s="57">
        <f>D51*(1+'Rhaniad y Ddeiliadaeth (Cymru)'!D$118)</f>
        <v>170064.73879326583</v>
      </c>
      <c r="F51" s="57">
        <f>E51*(1+'Rhaniad y Ddeiliadaeth (Cymru)'!E$118)</f>
        <v>173725.27686049425</v>
      </c>
      <c r="G51" s="57">
        <f>F51*(1+'Rhaniad y Ddeiliadaeth (Cymru)'!F$118)</f>
        <v>180500.41820914493</v>
      </c>
      <c r="H51" s="58">
        <f>G51*(1+'Rhaniad y Ddeiliadaeth (Cymru)'!G$118)</f>
        <v>187987.56182080923</v>
      </c>
      <c r="L51" s="62" t="str">
        <f t="shared" si="0"/>
        <v/>
      </c>
      <c r="M51" s="239"/>
      <c r="N51" s="14">
        <f t="shared" si="3"/>
        <v>1</v>
      </c>
      <c r="T51" s="1">
        <f t="shared" si="1"/>
        <v>57</v>
      </c>
      <c r="U51" s="4" t="str">
        <f t="shared" si="2"/>
        <v/>
      </c>
      <c r="V51" s="4" t="e">
        <f>IF($V$3=$M$3,M51,U51*(1+'Rhaniad y Ddeiliadaeth (Cymru)'!C$118))</f>
        <v>#VALUE!</v>
      </c>
      <c r="W51" s="4" t="e">
        <f>V51*(1+'Rhaniad y Ddeiliadaeth (Cymru)'!D$118)</f>
        <v>#VALUE!</v>
      </c>
      <c r="X51" s="4" t="e">
        <f>W51*(1+'Rhaniad y Ddeiliadaeth (Cymru)'!E$118)</f>
        <v>#VALUE!</v>
      </c>
      <c r="Y51" s="4" t="e">
        <f>X51*(1+'Rhaniad y Ddeiliadaeth (Cymru)'!F$118)</f>
        <v>#VALUE!</v>
      </c>
      <c r="Z51" s="4" t="e">
        <f>Y51*(1+'Rhaniad y Ddeiliadaeth (Cymru)'!G$118)</f>
        <v>#VALUE!</v>
      </c>
      <c r="AB51" s="1">
        <v>57</v>
      </c>
      <c r="AC51" s="4">
        <f>IF('Rhaniad y Ddeiliadaeth (Cymru)'!$D$18="Data Cofrestrfa Tir",'Prisiau Tai (Cymru)'!D51,'Prisiau Tai (Cymru)'!V51)</f>
        <v>169686.9215733606</v>
      </c>
      <c r="AD51" s="4">
        <f>IF('Rhaniad y Ddeiliadaeth (Cymru)'!$D$18="Data Cofrestrfa Tir",'Prisiau Tai (Cymru)'!E51,'Prisiau Tai (Cymru)'!W51)</f>
        <v>170064.73879326583</v>
      </c>
      <c r="AE51" s="4">
        <f>IF('Rhaniad y Ddeiliadaeth (Cymru)'!$D$18="Data Cofrestrfa Tir",'Prisiau Tai (Cymru)'!F51,'Prisiau Tai (Cymru)'!X51)</f>
        <v>173725.27686049425</v>
      </c>
      <c r="AF51" s="4">
        <f>IF('Rhaniad y Ddeiliadaeth (Cymru)'!$D$18="Data Cofrestrfa Tir",'Prisiau Tai (Cymru)'!G51,'Prisiau Tai (Cymru)'!Y51)</f>
        <v>180500.41820914493</v>
      </c>
      <c r="AG51" s="4">
        <f>IF('Rhaniad y Ddeiliadaeth (Cymru)'!$D$18="Data Cofrestrfa Tir",'Prisiau Tai (Cymru)'!H51,'Prisiau Tai (Cymru)'!Z51)</f>
        <v>187987.56182080923</v>
      </c>
    </row>
    <row r="52" spans="2:33" x14ac:dyDescent="0.25">
      <c r="B52" s="20">
        <v>58</v>
      </c>
      <c r="C52" s="56">
        <v>167500</v>
      </c>
      <c r="D52" s="57">
        <f>C52*(1+'Rhaniad y Ddeiliadaeth (Cymru)'!C$118)</f>
        <v>172257.93553659332</v>
      </c>
      <c r="E52" s="57">
        <f>D52*(1+'Rhaniad y Ddeiliadaeth (Cymru)'!D$118)</f>
        <v>172641.47725983043</v>
      </c>
      <c r="F52" s="57">
        <f>E52*(1+'Rhaniad y Ddeiliadaeth (Cymru)'!E$118)</f>
        <v>176357.47802504717</v>
      </c>
      <c r="G52" s="57">
        <f>F52*(1+'Rhaniad y Ddeiliadaeth (Cymru)'!F$118)</f>
        <v>183235.27303049559</v>
      </c>
      <c r="H52" s="58">
        <f>G52*(1+'Rhaniad y Ddeiliadaeth (Cymru)'!G$118)</f>
        <v>190835.85821203358</v>
      </c>
      <c r="L52" s="62" t="str">
        <f t="shared" si="0"/>
        <v/>
      </c>
      <c r="M52" s="239"/>
      <c r="N52" s="14">
        <f t="shared" si="3"/>
        <v>1</v>
      </c>
      <c r="T52" s="1">
        <f t="shared" si="1"/>
        <v>58</v>
      </c>
      <c r="U52" s="4" t="str">
        <f t="shared" si="2"/>
        <v/>
      </c>
      <c r="V52" s="4" t="e">
        <f>IF($V$3=$M$3,M52,U52*(1+'Rhaniad y Ddeiliadaeth (Cymru)'!C$118))</f>
        <v>#VALUE!</v>
      </c>
      <c r="W52" s="4" t="e">
        <f>V52*(1+'Rhaniad y Ddeiliadaeth (Cymru)'!D$118)</f>
        <v>#VALUE!</v>
      </c>
      <c r="X52" s="4" t="e">
        <f>W52*(1+'Rhaniad y Ddeiliadaeth (Cymru)'!E$118)</f>
        <v>#VALUE!</v>
      </c>
      <c r="Y52" s="4" t="e">
        <f>X52*(1+'Rhaniad y Ddeiliadaeth (Cymru)'!F$118)</f>
        <v>#VALUE!</v>
      </c>
      <c r="Z52" s="4" t="e">
        <f>Y52*(1+'Rhaniad y Ddeiliadaeth (Cymru)'!G$118)</f>
        <v>#VALUE!</v>
      </c>
      <c r="AB52" s="1">
        <v>58</v>
      </c>
      <c r="AC52" s="4">
        <f>IF('Rhaniad y Ddeiliadaeth (Cymru)'!$D$18="Data Cofrestrfa Tir",'Prisiau Tai (Cymru)'!D52,'Prisiau Tai (Cymru)'!V52)</f>
        <v>172257.93553659332</v>
      </c>
      <c r="AD52" s="4">
        <f>IF('Rhaniad y Ddeiliadaeth (Cymru)'!$D$18="Data Cofrestrfa Tir",'Prisiau Tai (Cymru)'!E52,'Prisiau Tai (Cymru)'!W52)</f>
        <v>172641.47725983043</v>
      </c>
      <c r="AE52" s="4">
        <f>IF('Rhaniad y Ddeiliadaeth (Cymru)'!$D$18="Data Cofrestrfa Tir",'Prisiau Tai (Cymru)'!F52,'Prisiau Tai (Cymru)'!X52)</f>
        <v>176357.47802504717</v>
      </c>
      <c r="AF52" s="4">
        <f>IF('Rhaniad y Ddeiliadaeth (Cymru)'!$D$18="Data Cofrestrfa Tir",'Prisiau Tai (Cymru)'!G52,'Prisiau Tai (Cymru)'!Y52)</f>
        <v>183235.27303049559</v>
      </c>
      <c r="AG52" s="4">
        <f>IF('Rhaniad y Ddeiliadaeth (Cymru)'!$D$18="Data Cofrestrfa Tir",'Prisiau Tai (Cymru)'!H52,'Prisiau Tai (Cymru)'!Z52)</f>
        <v>190835.85821203358</v>
      </c>
    </row>
    <row r="53" spans="2:33" x14ac:dyDescent="0.25">
      <c r="B53" s="20">
        <v>59</v>
      </c>
      <c r="C53" s="56">
        <v>170000</v>
      </c>
      <c r="D53" s="57">
        <f>C53*(1+'Rhaniad y Ddeiliadaeth (Cymru)'!C$118)</f>
        <v>174828.94949982606</v>
      </c>
      <c r="E53" s="57">
        <f>D53*(1+'Rhaniad y Ddeiliadaeth (Cymru)'!D$118)</f>
        <v>175218.21572639508</v>
      </c>
      <c r="F53" s="57">
        <f>E53*(1+'Rhaniad y Ddeiliadaeth (Cymru)'!E$118)</f>
        <v>178989.67918960011</v>
      </c>
      <c r="G53" s="57">
        <f>F53*(1+'Rhaniad y Ddeiliadaeth (Cymru)'!F$118)</f>
        <v>185970.12785184628</v>
      </c>
      <c r="H53" s="58">
        <f>G53*(1+'Rhaniad y Ddeiliadaeth (Cymru)'!G$118)</f>
        <v>193684.15460325798</v>
      </c>
      <c r="L53" s="62" t="str">
        <f t="shared" si="0"/>
        <v/>
      </c>
      <c r="M53" s="239"/>
      <c r="N53" s="14">
        <f t="shared" si="3"/>
        <v>1</v>
      </c>
      <c r="T53" s="1">
        <f t="shared" si="1"/>
        <v>59</v>
      </c>
      <c r="U53" s="4" t="str">
        <f t="shared" si="2"/>
        <v/>
      </c>
      <c r="V53" s="4" t="e">
        <f>IF($V$3=$M$3,M53,U53*(1+'Rhaniad y Ddeiliadaeth (Cymru)'!C$118))</f>
        <v>#VALUE!</v>
      </c>
      <c r="W53" s="4" t="e">
        <f>V53*(1+'Rhaniad y Ddeiliadaeth (Cymru)'!D$118)</f>
        <v>#VALUE!</v>
      </c>
      <c r="X53" s="4" t="e">
        <f>W53*(1+'Rhaniad y Ddeiliadaeth (Cymru)'!E$118)</f>
        <v>#VALUE!</v>
      </c>
      <c r="Y53" s="4" t="e">
        <f>X53*(1+'Rhaniad y Ddeiliadaeth (Cymru)'!F$118)</f>
        <v>#VALUE!</v>
      </c>
      <c r="Z53" s="4" t="e">
        <f>Y53*(1+'Rhaniad y Ddeiliadaeth (Cymru)'!G$118)</f>
        <v>#VALUE!</v>
      </c>
      <c r="AB53" s="1">
        <v>59</v>
      </c>
      <c r="AC53" s="4">
        <f>IF('Rhaniad y Ddeiliadaeth (Cymru)'!$D$18="Data Cofrestrfa Tir",'Prisiau Tai (Cymru)'!D53,'Prisiau Tai (Cymru)'!V53)</f>
        <v>174828.94949982606</v>
      </c>
      <c r="AD53" s="4">
        <f>IF('Rhaniad y Ddeiliadaeth (Cymru)'!$D$18="Data Cofrestrfa Tir",'Prisiau Tai (Cymru)'!E53,'Prisiau Tai (Cymru)'!W53)</f>
        <v>175218.21572639508</v>
      </c>
      <c r="AE53" s="4">
        <f>IF('Rhaniad y Ddeiliadaeth (Cymru)'!$D$18="Data Cofrestrfa Tir",'Prisiau Tai (Cymru)'!F53,'Prisiau Tai (Cymru)'!X53)</f>
        <v>178989.67918960011</v>
      </c>
      <c r="AF53" s="4">
        <f>IF('Rhaniad y Ddeiliadaeth (Cymru)'!$D$18="Data Cofrestrfa Tir",'Prisiau Tai (Cymru)'!G53,'Prisiau Tai (Cymru)'!Y53)</f>
        <v>185970.12785184628</v>
      </c>
      <c r="AG53" s="4">
        <f>IF('Rhaniad y Ddeiliadaeth (Cymru)'!$D$18="Data Cofrestrfa Tir",'Prisiau Tai (Cymru)'!H53,'Prisiau Tai (Cymru)'!Z53)</f>
        <v>193684.15460325798</v>
      </c>
    </row>
    <row r="54" spans="2:33" x14ac:dyDescent="0.25">
      <c r="B54" s="20">
        <v>60</v>
      </c>
      <c r="C54" s="56">
        <v>172000</v>
      </c>
      <c r="D54" s="57">
        <f>C54*(1+'Rhaniad y Ddeiliadaeth (Cymru)'!C$118)</f>
        <v>176885.76067041224</v>
      </c>
      <c r="E54" s="57">
        <f>D54*(1+'Rhaniad y Ddeiliadaeth (Cymru)'!D$118)</f>
        <v>177279.60649964679</v>
      </c>
      <c r="F54" s="57">
        <f>E54*(1+'Rhaniad y Ddeiliadaeth (Cymru)'!E$118)</f>
        <v>181095.44012124249</v>
      </c>
      <c r="G54" s="57">
        <f>F54*(1+'Rhaniad y Ddeiliadaeth (Cymru)'!F$118)</f>
        <v>188158.01170892685</v>
      </c>
      <c r="H54" s="58">
        <f>G54*(1+'Rhaniad y Ddeiliadaeth (Cymru)'!G$118)</f>
        <v>195962.79171623749</v>
      </c>
      <c r="L54" s="62" t="str">
        <f t="shared" si="0"/>
        <v/>
      </c>
      <c r="M54" s="239"/>
      <c r="N54" s="14">
        <f t="shared" si="3"/>
        <v>1</v>
      </c>
      <c r="T54" s="1">
        <f t="shared" si="1"/>
        <v>60</v>
      </c>
      <c r="U54" s="4" t="str">
        <f t="shared" si="2"/>
        <v/>
      </c>
      <c r="V54" s="4" t="e">
        <f>IF($V$3=$M$3,M54,U54*(1+'Rhaniad y Ddeiliadaeth (Cymru)'!C$118))</f>
        <v>#VALUE!</v>
      </c>
      <c r="W54" s="4" t="e">
        <f>V54*(1+'Rhaniad y Ddeiliadaeth (Cymru)'!D$118)</f>
        <v>#VALUE!</v>
      </c>
      <c r="X54" s="4" t="e">
        <f>W54*(1+'Rhaniad y Ddeiliadaeth (Cymru)'!E$118)</f>
        <v>#VALUE!</v>
      </c>
      <c r="Y54" s="4" t="e">
        <f>X54*(1+'Rhaniad y Ddeiliadaeth (Cymru)'!F$118)</f>
        <v>#VALUE!</v>
      </c>
      <c r="Z54" s="4" t="e">
        <f>Y54*(1+'Rhaniad y Ddeiliadaeth (Cymru)'!G$118)</f>
        <v>#VALUE!</v>
      </c>
      <c r="AB54" s="1">
        <v>60</v>
      </c>
      <c r="AC54" s="4">
        <f>IF('Rhaniad y Ddeiliadaeth (Cymru)'!$D$18="Data Cofrestrfa Tir",'Prisiau Tai (Cymru)'!D54,'Prisiau Tai (Cymru)'!V54)</f>
        <v>176885.76067041224</v>
      </c>
      <c r="AD54" s="4">
        <f>IF('Rhaniad y Ddeiliadaeth (Cymru)'!$D$18="Data Cofrestrfa Tir",'Prisiau Tai (Cymru)'!E54,'Prisiau Tai (Cymru)'!W54)</f>
        <v>177279.60649964679</v>
      </c>
      <c r="AE54" s="4">
        <f>IF('Rhaniad y Ddeiliadaeth (Cymru)'!$D$18="Data Cofrestrfa Tir",'Prisiau Tai (Cymru)'!F54,'Prisiau Tai (Cymru)'!X54)</f>
        <v>181095.44012124249</v>
      </c>
      <c r="AF54" s="4">
        <f>IF('Rhaniad y Ddeiliadaeth (Cymru)'!$D$18="Data Cofrestrfa Tir",'Prisiau Tai (Cymru)'!G54,'Prisiau Tai (Cymru)'!Y54)</f>
        <v>188158.01170892685</v>
      </c>
      <c r="AG54" s="4">
        <f>IF('Rhaniad y Ddeiliadaeth (Cymru)'!$D$18="Data Cofrestrfa Tir",'Prisiau Tai (Cymru)'!H54,'Prisiau Tai (Cymru)'!Z54)</f>
        <v>195962.79171623749</v>
      </c>
    </row>
    <row r="55" spans="2:33" x14ac:dyDescent="0.25">
      <c r="B55" s="20">
        <v>61</v>
      </c>
      <c r="C55" s="56">
        <v>175000</v>
      </c>
      <c r="D55" s="57">
        <f>C55*(1+'Rhaniad y Ddeiliadaeth (Cymru)'!C$118)</f>
        <v>179970.97742629153</v>
      </c>
      <c r="E55" s="57">
        <f>D55*(1+'Rhaniad y Ddeiliadaeth (Cymru)'!D$118)</f>
        <v>180371.69265952436</v>
      </c>
      <c r="F55" s="57">
        <f>E55*(1+'Rhaniad y Ddeiliadaeth (Cymru)'!E$118)</f>
        <v>184254.08151870602</v>
      </c>
      <c r="G55" s="57">
        <f>F55*(1+'Rhaniad y Ddeiliadaeth (Cymru)'!F$118)</f>
        <v>191439.83749454765</v>
      </c>
      <c r="H55" s="58">
        <f>G55*(1+'Rhaniad y Ddeiliadaeth (Cymru)'!G$118)</f>
        <v>199380.74738570675</v>
      </c>
      <c r="L55" s="62" t="str">
        <f t="shared" si="0"/>
        <v/>
      </c>
      <c r="M55" s="239"/>
      <c r="N55" s="14">
        <f t="shared" si="3"/>
        <v>1</v>
      </c>
      <c r="T55" s="1">
        <f t="shared" si="1"/>
        <v>61</v>
      </c>
      <c r="U55" s="4" t="str">
        <f t="shared" si="2"/>
        <v/>
      </c>
      <c r="V55" s="4" t="e">
        <f>IF($V$3=$M$3,M55,U55*(1+'Rhaniad y Ddeiliadaeth (Cymru)'!C$118))</f>
        <v>#VALUE!</v>
      </c>
      <c r="W55" s="4" t="e">
        <f>V55*(1+'Rhaniad y Ddeiliadaeth (Cymru)'!D$118)</f>
        <v>#VALUE!</v>
      </c>
      <c r="X55" s="4" t="e">
        <f>W55*(1+'Rhaniad y Ddeiliadaeth (Cymru)'!E$118)</f>
        <v>#VALUE!</v>
      </c>
      <c r="Y55" s="4" t="e">
        <f>X55*(1+'Rhaniad y Ddeiliadaeth (Cymru)'!F$118)</f>
        <v>#VALUE!</v>
      </c>
      <c r="Z55" s="4" t="e">
        <f>Y55*(1+'Rhaniad y Ddeiliadaeth (Cymru)'!G$118)</f>
        <v>#VALUE!</v>
      </c>
      <c r="AB55" s="1">
        <v>61</v>
      </c>
      <c r="AC55" s="4">
        <f>IF('Rhaniad y Ddeiliadaeth (Cymru)'!$D$18="Data Cofrestrfa Tir",'Prisiau Tai (Cymru)'!D55,'Prisiau Tai (Cymru)'!V55)</f>
        <v>179970.97742629153</v>
      </c>
      <c r="AD55" s="4">
        <f>IF('Rhaniad y Ddeiliadaeth (Cymru)'!$D$18="Data Cofrestrfa Tir",'Prisiau Tai (Cymru)'!E55,'Prisiau Tai (Cymru)'!W55)</f>
        <v>180371.69265952436</v>
      </c>
      <c r="AE55" s="4">
        <f>IF('Rhaniad y Ddeiliadaeth (Cymru)'!$D$18="Data Cofrestrfa Tir",'Prisiau Tai (Cymru)'!F55,'Prisiau Tai (Cymru)'!X55)</f>
        <v>184254.08151870602</v>
      </c>
      <c r="AF55" s="4">
        <f>IF('Rhaniad y Ddeiliadaeth (Cymru)'!$D$18="Data Cofrestrfa Tir",'Prisiau Tai (Cymru)'!G55,'Prisiau Tai (Cymru)'!Y55)</f>
        <v>191439.83749454765</v>
      </c>
      <c r="AG55" s="4">
        <f>IF('Rhaniad y Ddeiliadaeth (Cymru)'!$D$18="Data Cofrestrfa Tir",'Prisiau Tai (Cymru)'!H55,'Prisiau Tai (Cymru)'!Z55)</f>
        <v>199380.74738570675</v>
      </c>
    </row>
    <row r="56" spans="2:33" x14ac:dyDescent="0.25">
      <c r="B56" s="20">
        <v>62</v>
      </c>
      <c r="C56" s="56">
        <v>176000</v>
      </c>
      <c r="D56" s="57">
        <f>C56*(1+'Rhaniad y Ddeiliadaeth (Cymru)'!C$118)</f>
        <v>180999.38301158464</v>
      </c>
      <c r="E56" s="57">
        <f>D56*(1+'Rhaniad y Ddeiliadaeth (Cymru)'!D$118)</f>
        <v>181402.38804615021</v>
      </c>
      <c r="F56" s="57">
        <f>E56*(1+'Rhaniad y Ddeiliadaeth (Cymru)'!E$118)</f>
        <v>185306.96198452718</v>
      </c>
      <c r="G56" s="57">
        <f>F56*(1+'Rhaniad y Ddeiliadaeth (Cymru)'!F$118)</f>
        <v>192533.77942308792</v>
      </c>
      <c r="H56" s="58">
        <f>G56*(1+'Rhaniad y Ddeiliadaeth (Cymru)'!G$118)</f>
        <v>200520.0659421965</v>
      </c>
      <c r="L56" s="62" t="str">
        <f t="shared" si="0"/>
        <v/>
      </c>
      <c r="M56" s="239"/>
      <c r="N56" s="14">
        <f t="shared" si="3"/>
        <v>1</v>
      </c>
      <c r="T56" s="1">
        <f t="shared" si="1"/>
        <v>62</v>
      </c>
      <c r="U56" s="4" t="str">
        <f t="shared" si="2"/>
        <v/>
      </c>
      <c r="V56" s="4" t="e">
        <f>IF($V$3=$M$3,M56,U56*(1+'Rhaniad y Ddeiliadaeth (Cymru)'!C$118))</f>
        <v>#VALUE!</v>
      </c>
      <c r="W56" s="4" t="e">
        <f>V56*(1+'Rhaniad y Ddeiliadaeth (Cymru)'!D$118)</f>
        <v>#VALUE!</v>
      </c>
      <c r="X56" s="4" t="e">
        <f>W56*(1+'Rhaniad y Ddeiliadaeth (Cymru)'!E$118)</f>
        <v>#VALUE!</v>
      </c>
      <c r="Y56" s="4" t="e">
        <f>X56*(1+'Rhaniad y Ddeiliadaeth (Cymru)'!F$118)</f>
        <v>#VALUE!</v>
      </c>
      <c r="Z56" s="4" t="e">
        <f>Y56*(1+'Rhaniad y Ddeiliadaeth (Cymru)'!G$118)</f>
        <v>#VALUE!</v>
      </c>
      <c r="AB56" s="1">
        <v>62</v>
      </c>
      <c r="AC56" s="4">
        <f>IF('Rhaniad y Ddeiliadaeth (Cymru)'!$D$18="Data Cofrestrfa Tir",'Prisiau Tai (Cymru)'!D56,'Prisiau Tai (Cymru)'!V56)</f>
        <v>180999.38301158464</v>
      </c>
      <c r="AD56" s="4">
        <f>IF('Rhaniad y Ddeiliadaeth (Cymru)'!$D$18="Data Cofrestrfa Tir",'Prisiau Tai (Cymru)'!E56,'Prisiau Tai (Cymru)'!W56)</f>
        <v>181402.38804615021</v>
      </c>
      <c r="AE56" s="4">
        <f>IF('Rhaniad y Ddeiliadaeth (Cymru)'!$D$18="Data Cofrestrfa Tir",'Prisiau Tai (Cymru)'!F56,'Prisiau Tai (Cymru)'!X56)</f>
        <v>185306.96198452718</v>
      </c>
      <c r="AF56" s="4">
        <f>IF('Rhaniad y Ddeiliadaeth (Cymru)'!$D$18="Data Cofrestrfa Tir",'Prisiau Tai (Cymru)'!G56,'Prisiau Tai (Cymru)'!Y56)</f>
        <v>192533.77942308792</v>
      </c>
      <c r="AG56" s="4">
        <f>IF('Rhaniad y Ddeiliadaeth (Cymru)'!$D$18="Data Cofrestrfa Tir",'Prisiau Tai (Cymru)'!H56,'Prisiau Tai (Cymru)'!Z56)</f>
        <v>200520.0659421965</v>
      </c>
    </row>
    <row r="57" spans="2:33" x14ac:dyDescent="0.25">
      <c r="B57" s="20">
        <v>63</v>
      </c>
      <c r="C57" s="56">
        <v>179950</v>
      </c>
      <c r="D57" s="57">
        <f>C57*(1+'Rhaniad y Ddeiliadaeth (Cymru)'!C$118)</f>
        <v>185061.58507349234</v>
      </c>
      <c r="E57" s="57">
        <f>D57*(1+'Rhaniad y Ddeiliadaeth (Cymru)'!D$118)</f>
        <v>185473.63482332233</v>
      </c>
      <c r="F57" s="57">
        <f>E57*(1+'Rhaniad y Ddeiliadaeth (Cymru)'!E$118)</f>
        <v>189465.83982452084</v>
      </c>
      <c r="G57" s="57">
        <f>F57*(1+'Rhaniad y Ddeiliadaeth (Cymru)'!F$118)</f>
        <v>196854.850040822</v>
      </c>
      <c r="H57" s="58">
        <f>G57*(1+'Rhaniad y Ddeiliadaeth (Cymru)'!G$118)</f>
        <v>205020.37424033103</v>
      </c>
      <c r="L57" s="62" t="str">
        <f t="shared" si="0"/>
        <v/>
      </c>
      <c r="M57" s="239"/>
      <c r="N57" s="14">
        <f t="shared" si="3"/>
        <v>1</v>
      </c>
      <c r="T57" s="1">
        <f t="shared" si="1"/>
        <v>63</v>
      </c>
      <c r="U57" s="4" t="str">
        <f t="shared" si="2"/>
        <v/>
      </c>
      <c r="V57" s="4" t="e">
        <f>IF($V$3=$M$3,M57,U57*(1+'Rhaniad y Ddeiliadaeth (Cymru)'!C$118))</f>
        <v>#VALUE!</v>
      </c>
      <c r="W57" s="4" t="e">
        <f>V57*(1+'Rhaniad y Ddeiliadaeth (Cymru)'!D$118)</f>
        <v>#VALUE!</v>
      </c>
      <c r="X57" s="4" t="e">
        <f>W57*(1+'Rhaniad y Ddeiliadaeth (Cymru)'!E$118)</f>
        <v>#VALUE!</v>
      </c>
      <c r="Y57" s="4" t="e">
        <f>X57*(1+'Rhaniad y Ddeiliadaeth (Cymru)'!F$118)</f>
        <v>#VALUE!</v>
      </c>
      <c r="Z57" s="4" t="e">
        <f>Y57*(1+'Rhaniad y Ddeiliadaeth (Cymru)'!G$118)</f>
        <v>#VALUE!</v>
      </c>
      <c r="AB57" s="1">
        <v>63</v>
      </c>
      <c r="AC57" s="4">
        <f>IF('Rhaniad y Ddeiliadaeth (Cymru)'!$D$18="Data Cofrestrfa Tir",'Prisiau Tai (Cymru)'!D57,'Prisiau Tai (Cymru)'!V57)</f>
        <v>185061.58507349234</v>
      </c>
      <c r="AD57" s="4">
        <f>IF('Rhaniad y Ddeiliadaeth (Cymru)'!$D$18="Data Cofrestrfa Tir",'Prisiau Tai (Cymru)'!E57,'Prisiau Tai (Cymru)'!W57)</f>
        <v>185473.63482332233</v>
      </c>
      <c r="AE57" s="4">
        <f>IF('Rhaniad y Ddeiliadaeth (Cymru)'!$D$18="Data Cofrestrfa Tir",'Prisiau Tai (Cymru)'!F57,'Prisiau Tai (Cymru)'!X57)</f>
        <v>189465.83982452084</v>
      </c>
      <c r="AF57" s="4">
        <f>IF('Rhaniad y Ddeiliadaeth (Cymru)'!$D$18="Data Cofrestrfa Tir",'Prisiau Tai (Cymru)'!G57,'Prisiau Tai (Cymru)'!Y57)</f>
        <v>196854.850040822</v>
      </c>
      <c r="AG57" s="4">
        <f>IF('Rhaniad y Ddeiliadaeth (Cymru)'!$D$18="Data Cofrestrfa Tir",'Prisiau Tai (Cymru)'!H57,'Prisiau Tai (Cymru)'!Z57)</f>
        <v>205020.37424033103</v>
      </c>
    </row>
    <row r="58" spans="2:33" x14ac:dyDescent="0.25">
      <c r="B58" s="20">
        <v>64</v>
      </c>
      <c r="C58" s="56">
        <v>180000</v>
      </c>
      <c r="D58" s="57">
        <f>C58*(1+'Rhaniad y Ddeiliadaeth (Cymru)'!C$118)</f>
        <v>185113.005352757</v>
      </c>
      <c r="E58" s="57">
        <f>D58*(1+'Rhaniad y Ddeiliadaeth (Cymru)'!D$118)</f>
        <v>185525.1695926536</v>
      </c>
      <c r="F58" s="57">
        <f>E58*(1+'Rhaniad y Ddeiliadaeth (Cymru)'!E$118)</f>
        <v>189518.48384781188</v>
      </c>
      <c r="G58" s="57">
        <f>F58*(1+'Rhaniad y Ddeiliadaeth (Cymru)'!F$118)</f>
        <v>196909.54713724897</v>
      </c>
      <c r="H58" s="58">
        <f>G58*(1+'Rhaniad y Ddeiliadaeth (Cymru)'!G$118)</f>
        <v>205077.34016815547</v>
      </c>
      <c r="L58" s="62" t="str">
        <f t="shared" si="0"/>
        <v/>
      </c>
      <c r="M58" s="239"/>
      <c r="N58" s="14">
        <f t="shared" si="3"/>
        <v>1</v>
      </c>
      <c r="T58" s="1">
        <f t="shared" si="1"/>
        <v>64</v>
      </c>
      <c r="U58" s="4" t="str">
        <f t="shared" si="2"/>
        <v/>
      </c>
      <c r="V58" s="4" t="e">
        <f>IF($V$3=$M$3,M58,U58*(1+'Rhaniad y Ddeiliadaeth (Cymru)'!C$118))</f>
        <v>#VALUE!</v>
      </c>
      <c r="W58" s="4" t="e">
        <f>V58*(1+'Rhaniad y Ddeiliadaeth (Cymru)'!D$118)</f>
        <v>#VALUE!</v>
      </c>
      <c r="X58" s="4" t="e">
        <f>W58*(1+'Rhaniad y Ddeiliadaeth (Cymru)'!E$118)</f>
        <v>#VALUE!</v>
      </c>
      <c r="Y58" s="4" t="e">
        <f>X58*(1+'Rhaniad y Ddeiliadaeth (Cymru)'!F$118)</f>
        <v>#VALUE!</v>
      </c>
      <c r="Z58" s="4" t="e">
        <f>Y58*(1+'Rhaniad y Ddeiliadaeth (Cymru)'!G$118)</f>
        <v>#VALUE!</v>
      </c>
      <c r="AB58" s="1">
        <v>64</v>
      </c>
      <c r="AC58" s="4">
        <f>IF('Rhaniad y Ddeiliadaeth (Cymru)'!$D$18="Data Cofrestrfa Tir",'Prisiau Tai (Cymru)'!D58,'Prisiau Tai (Cymru)'!V58)</f>
        <v>185113.005352757</v>
      </c>
      <c r="AD58" s="4">
        <f>IF('Rhaniad y Ddeiliadaeth (Cymru)'!$D$18="Data Cofrestrfa Tir",'Prisiau Tai (Cymru)'!E58,'Prisiau Tai (Cymru)'!W58)</f>
        <v>185525.1695926536</v>
      </c>
      <c r="AE58" s="4">
        <f>IF('Rhaniad y Ddeiliadaeth (Cymru)'!$D$18="Data Cofrestrfa Tir",'Prisiau Tai (Cymru)'!F58,'Prisiau Tai (Cymru)'!X58)</f>
        <v>189518.48384781188</v>
      </c>
      <c r="AF58" s="4">
        <f>IF('Rhaniad y Ddeiliadaeth (Cymru)'!$D$18="Data Cofrestrfa Tir",'Prisiau Tai (Cymru)'!G58,'Prisiau Tai (Cymru)'!Y58)</f>
        <v>196909.54713724897</v>
      </c>
      <c r="AG58" s="4">
        <f>IF('Rhaniad y Ddeiliadaeth (Cymru)'!$D$18="Data Cofrestrfa Tir",'Prisiau Tai (Cymru)'!H58,'Prisiau Tai (Cymru)'!Z58)</f>
        <v>205077.34016815547</v>
      </c>
    </row>
    <row r="59" spans="2:33" x14ac:dyDescent="0.25">
      <c r="B59" s="20">
        <v>65</v>
      </c>
      <c r="C59" s="56">
        <v>185000</v>
      </c>
      <c r="D59" s="57">
        <f>C59*(1+'Rhaniad y Ddeiliadaeth (Cymru)'!C$118)</f>
        <v>190255.03327922247</v>
      </c>
      <c r="E59" s="57">
        <f>D59*(1+'Rhaniad y Ddeiliadaeth (Cymru)'!D$118)</f>
        <v>190678.64652578288</v>
      </c>
      <c r="F59" s="57">
        <f>E59*(1+'Rhaniad y Ddeiliadaeth (Cymru)'!E$118)</f>
        <v>194782.88617691779</v>
      </c>
      <c r="G59" s="57">
        <f>F59*(1+'Rhaniad y Ddeiliadaeth (Cymru)'!F$118)</f>
        <v>202379.25677995037</v>
      </c>
      <c r="H59" s="58">
        <f>G59*(1+'Rhaniad y Ddeiliadaeth (Cymru)'!G$118)</f>
        <v>210773.93295060427</v>
      </c>
      <c r="L59" s="62" t="str">
        <f t="shared" si="0"/>
        <v/>
      </c>
      <c r="M59" s="239"/>
      <c r="N59" s="14">
        <f t="shared" si="3"/>
        <v>1</v>
      </c>
      <c r="T59" s="1">
        <f t="shared" si="1"/>
        <v>65</v>
      </c>
      <c r="U59" s="4" t="str">
        <f t="shared" si="2"/>
        <v/>
      </c>
      <c r="V59" s="4" t="e">
        <f>IF($V$3=$M$3,M59,U59*(1+'Rhaniad y Ddeiliadaeth (Cymru)'!C$118))</f>
        <v>#VALUE!</v>
      </c>
      <c r="W59" s="4" t="e">
        <f>V59*(1+'Rhaniad y Ddeiliadaeth (Cymru)'!D$118)</f>
        <v>#VALUE!</v>
      </c>
      <c r="X59" s="4" t="e">
        <f>W59*(1+'Rhaniad y Ddeiliadaeth (Cymru)'!E$118)</f>
        <v>#VALUE!</v>
      </c>
      <c r="Y59" s="4" t="e">
        <f>X59*(1+'Rhaniad y Ddeiliadaeth (Cymru)'!F$118)</f>
        <v>#VALUE!</v>
      </c>
      <c r="Z59" s="4" t="e">
        <f>Y59*(1+'Rhaniad y Ddeiliadaeth (Cymru)'!G$118)</f>
        <v>#VALUE!</v>
      </c>
      <c r="AB59" s="1">
        <v>65</v>
      </c>
      <c r="AC59" s="4">
        <f>IF('Rhaniad y Ddeiliadaeth (Cymru)'!$D$18="Data Cofrestrfa Tir",'Prisiau Tai (Cymru)'!D59,'Prisiau Tai (Cymru)'!V59)</f>
        <v>190255.03327922247</v>
      </c>
      <c r="AD59" s="4">
        <f>IF('Rhaniad y Ddeiliadaeth (Cymru)'!$D$18="Data Cofrestrfa Tir",'Prisiau Tai (Cymru)'!E59,'Prisiau Tai (Cymru)'!W59)</f>
        <v>190678.64652578288</v>
      </c>
      <c r="AE59" s="4">
        <f>IF('Rhaniad y Ddeiliadaeth (Cymru)'!$D$18="Data Cofrestrfa Tir",'Prisiau Tai (Cymru)'!F59,'Prisiau Tai (Cymru)'!X59)</f>
        <v>194782.88617691779</v>
      </c>
      <c r="AF59" s="4">
        <f>IF('Rhaniad y Ddeiliadaeth (Cymru)'!$D$18="Data Cofrestrfa Tir",'Prisiau Tai (Cymru)'!G59,'Prisiau Tai (Cymru)'!Y59)</f>
        <v>202379.25677995037</v>
      </c>
      <c r="AG59" s="4">
        <f>IF('Rhaniad y Ddeiliadaeth (Cymru)'!$D$18="Data Cofrestrfa Tir",'Prisiau Tai (Cymru)'!H59,'Prisiau Tai (Cymru)'!Z59)</f>
        <v>210773.93295060427</v>
      </c>
    </row>
    <row r="60" spans="2:33" x14ac:dyDescent="0.25">
      <c r="B60" s="20">
        <v>66</v>
      </c>
      <c r="C60" s="56">
        <v>186000</v>
      </c>
      <c r="D60" s="57">
        <f>C60*(1+'Rhaniad y Ddeiliadaeth (Cymru)'!C$118)</f>
        <v>191283.43886451557</v>
      </c>
      <c r="E60" s="57">
        <f>D60*(1+'Rhaniad y Ddeiliadaeth (Cymru)'!D$118)</f>
        <v>191709.34191240874</v>
      </c>
      <c r="F60" s="57">
        <f>E60*(1+'Rhaniad y Ddeiliadaeth (Cymru)'!E$118)</f>
        <v>195835.76664273895</v>
      </c>
      <c r="G60" s="57">
        <f>F60*(1+'Rhaniad y Ddeiliadaeth (Cymru)'!F$118)</f>
        <v>203473.19870849061</v>
      </c>
      <c r="H60" s="58">
        <f>G60*(1+'Rhaniad y Ddeiliadaeth (Cymru)'!G$118)</f>
        <v>211913.25150709401</v>
      </c>
      <c r="L60" s="62" t="str">
        <f t="shared" si="0"/>
        <v/>
      </c>
      <c r="M60" s="239"/>
      <c r="N60" s="14">
        <f t="shared" si="3"/>
        <v>1</v>
      </c>
      <c r="T60" s="1">
        <f t="shared" si="1"/>
        <v>66</v>
      </c>
      <c r="U60" s="4" t="str">
        <f t="shared" si="2"/>
        <v/>
      </c>
      <c r="V60" s="4" t="e">
        <f>IF($V$3=$M$3,M60,U60*(1+'Rhaniad y Ddeiliadaeth (Cymru)'!C$118))</f>
        <v>#VALUE!</v>
      </c>
      <c r="W60" s="4" t="e">
        <f>V60*(1+'Rhaniad y Ddeiliadaeth (Cymru)'!D$118)</f>
        <v>#VALUE!</v>
      </c>
      <c r="X60" s="4" t="e">
        <f>W60*(1+'Rhaniad y Ddeiliadaeth (Cymru)'!E$118)</f>
        <v>#VALUE!</v>
      </c>
      <c r="Y60" s="4" t="e">
        <f>X60*(1+'Rhaniad y Ddeiliadaeth (Cymru)'!F$118)</f>
        <v>#VALUE!</v>
      </c>
      <c r="Z60" s="4" t="e">
        <f>Y60*(1+'Rhaniad y Ddeiliadaeth (Cymru)'!G$118)</f>
        <v>#VALUE!</v>
      </c>
      <c r="AB60" s="1">
        <v>66</v>
      </c>
      <c r="AC60" s="4">
        <f>IF('Rhaniad y Ddeiliadaeth (Cymru)'!$D$18="Data Cofrestrfa Tir",'Prisiau Tai (Cymru)'!D60,'Prisiau Tai (Cymru)'!V60)</f>
        <v>191283.43886451557</v>
      </c>
      <c r="AD60" s="4">
        <f>IF('Rhaniad y Ddeiliadaeth (Cymru)'!$D$18="Data Cofrestrfa Tir",'Prisiau Tai (Cymru)'!E60,'Prisiau Tai (Cymru)'!W60)</f>
        <v>191709.34191240874</v>
      </c>
      <c r="AE60" s="4">
        <f>IF('Rhaniad y Ddeiliadaeth (Cymru)'!$D$18="Data Cofrestrfa Tir",'Prisiau Tai (Cymru)'!F60,'Prisiau Tai (Cymru)'!X60)</f>
        <v>195835.76664273895</v>
      </c>
      <c r="AF60" s="4">
        <f>IF('Rhaniad y Ddeiliadaeth (Cymru)'!$D$18="Data Cofrestrfa Tir",'Prisiau Tai (Cymru)'!G60,'Prisiau Tai (Cymru)'!Y60)</f>
        <v>203473.19870849061</v>
      </c>
      <c r="AG60" s="4">
        <f>IF('Rhaniad y Ddeiliadaeth (Cymru)'!$D$18="Data Cofrestrfa Tir",'Prisiau Tai (Cymru)'!H60,'Prisiau Tai (Cymru)'!Z60)</f>
        <v>211913.25150709401</v>
      </c>
    </row>
    <row r="61" spans="2:33" x14ac:dyDescent="0.25">
      <c r="B61" s="20">
        <v>67</v>
      </c>
      <c r="C61" s="56">
        <v>190000</v>
      </c>
      <c r="D61" s="57">
        <f>C61*(1+'Rhaniad y Ddeiliadaeth (Cymru)'!C$118)</f>
        <v>195397.06120568793</v>
      </c>
      <c r="E61" s="57">
        <f>D61*(1+'Rhaniad y Ddeiliadaeth (Cymru)'!D$118)</f>
        <v>195832.12345891213</v>
      </c>
      <c r="F61" s="57">
        <f>E61*(1+'Rhaniad y Ddeiliadaeth (Cymru)'!E$118)</f>
        <v>200047.28850602364</v>
      </c>
      <c r="G61" s="57">
        <f>F61*(1+'Rhaniad y Ddeiliadaeth (Cymru)'!F$118)</f>
        <v>207848.96642265169</v>
      </c>
      <c r="H61" s="58">
        <f>G61*(1+'Rhaniad y Ddeiliadaeth (Cymru)'!G$118)</f>
        <v>216470.52573305299</v>
      </c>
      <c r="L61" s="62" t="str">
        <f t="shared" si="0"/>
        <v/>
      </c>
      <c r="M61" s="239"/>
      <c r="N61" s="14">
        <f t="shared" si="3"/>
        <v>1</v>
      </c>
      <c r="T61" s="1">
        <f t="shared" si="1"/>
        <v>67</v>
      </c>
      <c r="U61" s="4" t="str">
        <f t="shared" si="2"/>
        <v/>
      </c>
      <c r="V61" s="4" t="e">
        <f>IF($V$3=$M$3,M61,U61*(1+'Rhaniad y Ddeiliadaeth (Cymru)'!C$118))</f>
        <v>#VALUE!</v>
      </c>
      <c r="W61" s="4" t="e">
        <f>V61*(1+'Rhaniad y Ddeiliadaeth (Cymru)'!D$118)</f>
        <v>#VALUE!</v>
      </c>
      <c r="X61" s="4" t="e">
        <f>W61*(1+'Rhaniad y Ddeiliadaeth (Cymru)'!E$118)</f>
        <v>#VALUE!</v>
      </c>
      <c r="Y61" s="4" t="e">
        <f>X61*(1+'Rhaniad y Ddeiliadaeth (Cymru)'!F$118)</f>
        <v>#VALUE!</v>
      </c>
      <c r="Z61" s="4" t="e">
        <f>Y61*(1+'Rhaniad y Ddeiliadaeth (Cymru)'!G$118)</f>
        <v>#VALUE!</v>
      </c>
      <c r="AB61" s="1">
        <v>67</v>
      </c>
      <c r="AC61" s="4">
        <f>IF('Rhaniad y Ddeiliadaeth (Cymru)'!$D$18="Data Cofrestrfa Tir",'Prisiau Tai (Cymru)'!D61,'Prisiau Tai (Cymru)'!V61)</f>
        <v>195397.06120568793</v>
      </c>
      <c r="AD61" s="4">
        <f>IF('Rhaniad y Ddeiliadaeth (Cymru)'!$D$18="Data Cofrestrfa Tir",'Prisiau Tai (Cymru)'!E61,'Prisiau Tai (Cymru)'!W61)</f>
        <v>195832.12345891213</v>
      </c>
      <c r="AE61" s="4">
        <f>IF('Rhaniad y Ddeiliadaeth (Cymru)'!$D$18="Data Cofrestrfa Tir",'Prisiau Tai (Cymru)'!F61,'Prisiau Tai (Cymru)'!X61)</f>
        <v>200047.28850602364</v>
      </c>
      <c r="AF61" s="4">
        <f>IF('Rhaniad y Ddeiliadaeth (Cymru)'!$D$18="Data Cofrestrfa Tir",'Prisiau Tai (Cymru)'!G61,'Prisiau Tai (Cymru)'!Y61)</f>
        <v>207848.96642265169</v>
      </c>
      <c r="AG61" s="4">
        <f>IF('Rhaniad y Ddeiliadaeth (Cymru)'!$D$18="Data Cofrestrfa Tir",'Prisiau Tai (Cymru)'!H61,'Prisiau Tai (Cymru)'!Z61)</f>
        <v>216470.52573305299</v>
      </c>
    </row>
    <row r="62" spans="2:33" x14ac:dyDescent="0.25">
      <c r="B62" s="20">
        <v>68</v>
      </c>
      <c r="C62" s="56">
        <v>192000</v>
      </c>
      <c r="D62" s="57">
        <f>C62*(1+'Rhaniad y Ddeiliadaeth (Cymru)'!C$118)</f>
        <v>197453.87237627414</v>
      </c>
      <c r="E62" s="57">
        <f>D62*(1+'Rhaniad y Ddeiliadaeth (Cymru)'!D$118)</f>
        <v>197893.51423216387</v>
      </c>
      <c r="F62" s="57">
        <f>E62*(1+'Rhaniad y Ddeiliadaeth (Cymru)'!E$118)</f>
        <v>202153.04943766602</v>
      </c>
      <c r="G62" s="57">
        <f>F62*(1+'Rhaniad y Ddeiliadaeth (Cymru)'!F$118)</f>
        <v>210036.85027973226</v>
      </c>
      <c r="H62" s="58">
        <f>G62*(1+'Rhaniad y Ddeiliadaeth (Cymru)'!G$118)</f>
        <v>218749.16284603253</v>
      </c>
      <c r="L62" s="62" t="str">
        <f t="shared" si="0"/>
        <v/>
      </c>
      <c r="M62" s="239"/>
      <c r="N62" s="14">
        <f t="shared" si="3"/>
        <v>1</v>
      </c>
      <c r="T62" s="1">
        <f t="shared" si="1"/>
        <v>68</v>
      </c>
      <c r="U62" s="4" t="str">
        <f t="shared" si="2"/>
        <v/>
      </c>
      <c r="V62" s="4" t="e">
        <f>IF($V$3=$M$3,M62,U62*(1+'Rhaniad y Ddeiliadaeth (Cymru)'!C$118))</f>
        <v>#VALUE!</v>
      </c>
      <c r="W62" s="4" t="e">
        <f>V62*(1+'Rhaniad y Ddeiliadaeth (Cymru)'!D$118)</f>
        <v>#VALUE!</v>
      </c>
      <c r="X62" s="4" t="e">
        <f>W62*(1+'Rhaniad y Ddeiliadaeth (Cymru)'!E$118)</f>
        <v>#VALUE!</v>
      </c>
      <c r="Y62" s="4" t="e">
        <f>X62*(1+'Rhaniad y Ddeiliadaeth (Cymru)'!F$118)</f>
        <v>#VALUE!</v>
      </c>
      <c r="Z62" s="4" t="e">
        <f>Y62*(1+'Rhaniad y Ddeiliadaeth (Cymru)'!G$118)</f>
        <v>#VALUE!</v>
      </c>
      <c r="AB62" s="1">
        <v>68</v>
      </c>
      <c r="AC62" s="4">
        <f>IF('Rhaniad y Ddeiliadaeth (Cymru)'!$D$18="Data Cofrestrfa Tir",'Prisiau Tai (Cymru)'!D62,'Prisiau Tai (Cymru)'!V62)</f>
        <v>197453.87237627414</v>
      </c>
      <c r="AD62" s="4">
        <f>IF('Rhaniad y Ddeiliadaeth (Cymru)'!$D$18="Data Cofrestrfa Tir",'Prisiau Tai (Cymru)'!E62,'Prisiau Tai (Cymru)'!W62)</f>
        <v>197893.51423216387</v>
      </c>
      <c r="AE62" s="4">
        <f>IF('Rhaniad y Ddeiliadaeth (Cymru)'!$D$18="Data Cofrestrfa Tir",'Prisiau Tai (Cymru)'!F62,'Prisiau Tai (Cymru)'!X62)</f>
        <v>202153.04943766602</v>
      </c>
      <c r="AF62" s="4">
        <f>IF('Rhaniad y Ddeiliadaeth (Cymru)'!$D$18="Data Cofrestrfa Tir",'Prisiau Tai (Cymru)'!G62,'Prisiau Tai (Cymru)'!Y62)</f>
        <v>210036.85027973226</v>
      </c>
      <c r="AG62" s="4">
        <f>IF('Rhaniad y Ddeiliadaeth (Cymru)'!$D$18="Data Cofrestrfa Tir",'Prisiau Tai (Cymru)'!H62,'Prisiau Tai (Cymru)'!Z62)</f>
        <v>218749.16284603253</v>
      </c>
    </row>
    <row r="63" spans="2:33" x14ac:dyDescent="0.25">
      <c r="B63" s="20">
        <v>69</v>
      </c>
      <c r="C63" s="56">
        <v>195000</v>
      </c>
      <c r="D63" s="57">
        <f>C63*(1+'Rhaniad y Ddeiliadaeth (Cymru)'!C$118)</f>
        <v>200539.08913215343</v>
      </c>
      <c r="E63" s="57">
        <f>D63*(1+'Rhaniad y Ddeiliadaeth (Cymru)'!D$118)</f>
        <v>200985.60039204144</v>
      </c>
      <c r="F63" s="57">
        <f>E63*(1+'Rhaniad y Ddeiliadaeth (Cymru)'!E$118)</f>
        <v>205311.69083512956</v>
      </c>
      <c r="G63" s="57">
        <f>F63*(1+'Rhaniad y Ddeiliadaeth (Cymru)'!F$118)</f>
        <v>213318.67606535309</v>
      </c>
      <c r="H63" s="58">
        <f>G63*(1+'Rhaniad y Ddeiliadaeth (Cymru)'!G$118)</f>
        <v>222167.11851550182</v>
      </c>
      <c r="L63" s="62" t="str">
        <f t="shared" si="0"/>
        <v/>
      </c>
      <c r="M63" s="239"/>
      <c r="N63" s="14">
        <f t="shared" si="3"/>
        <v>1</v>
      </c>
      <c r="T63" s="1">
        <f t="shared" si="1"/>
        <v>69</v>
      </c>
      <c r="U63" s="4" t="str">
        <f t="shared" si="2"/>
        <v/>
      </c>
      <c r="V63" s="4" t="e">
        <f>IF($V$3=$M$3,M63,U63*(1+'Rhaniad y Ddeiliadaeth (Cymru)'!C$118))</f>
        <v>#VALUE!</v>
      </c>
      <c r="W63" s="4" t="e">
        <f>V63*(1+'Rhaniad y Ddeiliadaeth (Cymru)'!D$118)</f>
        <v>#VALUE!</v>
      </c>
      <c r="X63" s="4" t="e">
        <f>W63*(1+'Rhaniad y Ddeiliadaeth (Cymru)'!E$118)</f>
        <v>#VALUE!</v>
      </c>
      <c r="Y63" s="4" t="e">
        <f>X63*(1+'Rhaniad y Ddeiliadaeth (Cymru)'!F$118)</f>
        <v>#VALUE!</v>
      </c>
      <c r="Z63" s="4" t="e">
        <f>Y63*(1+'Rhaniad y Ddeiliadaeth (Cymru)'!G$118)</f>
        <v>#VALUE!</v>
      </c>
      <c r="AB63" s="1">
        <v>69</v>
      </c>
      <c r="AC63" s="4">
        <f>IF('Rhaniad y Ddeiliadaeth (Cymru)'!$D$18="Data Cofrestrfa Tir",'Prisiau Tai (Cymru)'!D63,'Prisiau Tai (Cymru)'!V63)</f>
        <v>200539.08913215343</v>
      </c>
      <c r="AD63" s="4">
        <f>IF('Rhaniad y Ddeiliadaeth (Cymru)'!$D$18="Data Cofrestrfa Tir",'Prisiau Tai (Cymru)'!E63,'Prisiau Tai (Cymru)'!W63)</f>
        <v>200985.60039204144</v>
      </c>
      <c r="AE63" s="4">
        <f>IF('Rhaniad y Ddeiliadaeth (Cymru)'!$D$18="Data Cofrestrfa Tir",'Prisiau Tai (Cymru)'!F63,'Prisiau Tai (Cymru)'!X63)</f>
        <v>205311.69083512956</v>
      </c>
      <c r="AF63" s="4">
        <f>IF('Rhaniad y Ddeiliadaeth (Cymru)'!$D$18="Data Cofrestrfa Tir",'Prisiau Tai (Cymru)'!G63,'Prisiau Tai (Cymru)'!Y63)</f>
        <v>213318.67606535309</v>
      </c>
      <c r="AG63" s="4">
        <f>IF('Rhaniad y Ddeiliadaeth (Cymru)'!$D$18="Data Cofrestrfa Tir",'Prisiau Tai (Cymru)'!H63,'Prisiau Tai (Cymru)'!Z63)</f>
        <v>222167.11851550182</v>
      </c>
    </row>
    <row r="64" spans="2:33" x14ac:dyDescent="0.25">
      <c r="B64" s="20">
        <v>70</v>
      </c>
      <c r="C64" s="56">
        <v>199950</v>
      </c>
      <c r="D64" s="57">
        <f>C64*(1+'Rhaniad y Ddeiliadaeth (Cymru)'!C$118)</f>
        <v>205629.69677935424</v>
      </c>
      <c r="E64" s="57">
        <f>D64*(1+'Rhaniad y Ddeiliadaeth (Cymru)'!D$118)</f>
        <v>206087.54255583941</v>
      </c>
      <c r="F64" s="57">
        <f>E64*(1+'Rhaniad y Ddeiliadaeth (Cymru)'!E$118)</f>
        <v>210523.4491409444</v>
      </c>
      <c r="G64" s="57">
        <f>F64*(1+'Rhaniad y Ddeiliadaeth (Cymru)'!F$118)</f>
        <v>218733.68861162747</v>
      </c>
      <c r="H64" s="58">
        <f>G64*(1+'Rhaniad y Ddeiliadaeth (Cymru)'!G$118)</f>
        <v>227806.74537012613</v>
      </c>
      <c r="L64" s="62" t="str">
        <f t="shared" si="0"/>
        <v/>
      </c>
      <c r="M64" s="239"/>
      <c r="N64" s="14">
        <f t="shared" si="3"/>
        <v>1</v>
      </c>
      <c r="T64" s="1">
        <f t="shared" si="1"/>
        <v>70</v>
      </c>
      <c r="U64" s="4" t="str">
        <f t="shared" si="2"/>
        <v/>
      </c>
      <c r="V64" s="4" t="e">
        <f>IF($V$3=$M$3,M64,U64*(1+'Rhaniad y Ddeiliadaeth (Cymru)'!C$118))</f>
        <v>#VALUE!</v>
      </c>
      <c r="W64" s="4" t="e">
        <f>V64*(1+'Rhaniad y Ddeiliadaeth (Cymru)'!D$118)</f>
        <v>#VALUE!</v>
      </c>
      <c r="X64" s="4" t="e">
        <f>W64*(1+'Rhaniad y Ddeiliadaeth (Cymru)'!E$118)</f>
        <v>#VALUE!</v>
      </c>
      <c r="Y64" s="4" t="e">
        <f>X64*(1+'Rhaniad y Ddeiliadaeth (Cymru)'!F$118)</f>
        <v>#VALUE!</v>
      </c>
      <c r="Z64" s="4" t="e">
        <f>Y64*(1+'Rhaniad y Ddeiliadaeth (Cymru)'!G$118)</f>
        <v>#VALUE!</v>
      </c>
      <c r="AB64" s="1">
        <v>70</v>
      </c>
      <c r="AC64" s="4">
        <f>IF('Rhaniad y Ddeiliadaeth (Cymru)'!$D$18="Data Cofrestrfa Tir",'Prisiau Tai (Cymru)'!D64,'Prisiau Tai (Cymru)'!V64)</f>
        <v>205629.69677935424</v>
      </c>
      <c r="AD64" s="4">
        <f>IF('Rhaniad y Ddeiliadaeth (Cymru)'!$D$18="Data Cofrestrfa Tir",'Prisiau Tai (Cymru)'!E64,'Prisiau Tai (Cymru)'!W64)</f>
        <v>206087.54255583941</v>
      </c>
      <c r="AE64" s="4">
        <f>IF('Rhaniad y Ddeiliadaeth (Cymru)'!$D$18="Data Cofrestrfa Tir",'Prisiau Tai (Cymru)'!F64,'Prisiau Tai (Cymru)'!X64)</f>
        <v>210523.4491409444</v>
      </c>
      <c r="AF64" s="4">
        <f>IF('Rhaniad y Ddeiliadaeth (Cymru)'!$D$18="Data Cofrestrfa Tir",'Prisiau Tai (Cymru)'!G64,'Prisiau Tai (Cymru)'!Y64)</f>
        <v>218733.68861162747</v>
      </c>
      <c r="AG64" s="4">
        <f>IF('Rhaniad y Ddeiliadaeth (Cymru)'!$D$18="Data Cofrestrfa Tir",'Prisiau Tai (Cymru)'!H64,'Prisiau Tai (Cymru)'!Z64)</f>
        <v>227806.74537012613</v>
      </c>
    </row>
    <row r="65" spans="2:33" x14ac:dyDescent="0.25">
      <c r="B65" s="20">
        <v>71</v>
      </c>
      <c r="C65" s="56">
        <v>201500</v>
      </c>
      <c r="D65" s="57">
        <f>C65*(1+'Rhaniad y Ddeiliadaeth (Cymru)'!C$118)</f>
        <v>207223.72543655854</v>
      </c>
      <c r="E65" s="57">
        <f>D65*(1+'Rhaniad y Ddeiliadaeth (Cymru)'!D$118)</f>
        <v>207685.12040510945</v>
      </c>
      <c r="F65" s="57">
        <f>E65*(1+'Rhaniad y Ddeiliadaeth (Cymru)'!E$118)</f>
        <v>212155.41386296719</v>
      </c>
      <c r="G65" s="57">
        <f>F65*(1+'Rhaniad y Ddeiliadaeth (Cymru)'!F$118)</f>
        <v>220429.29860086486</v>
      </c>
      <c r="H65" s="58">
        <f>G65*(1+'Rhaniad y Ddeiliadaeth (Cymru)'!G$118)</f>
        <v>229572.68913268519</v>
      </c>
      <c r="L65" s="62" t="str">
        <f t="shared" si="0"/>
        <v/>
      </c>
      <c r="M65" s="239"/>
      <c r="N65" s="14">
        <f t="shared" si="3"/>
        <v>1</v>
      </c>
      <c r="T65" s="1">
        <f t="shared" si="1"/>
        <v>71</v>
      </c>
      <c r="U65" s="4" t="str">
        <f t="shared" si="2"/>
        <v/>
      </c>
      <c r="V65" s="4" t="e">
        <f>IF($V$3=$M$3,M65,U65*(1+'Rhaniad y Ddeiliadaeth (Cymru)'!C$118))</f>
        <v>#VALUE!</v>
      </c>
      <c r="W65" s="4" t="e">
        <f>V65*(1+'Rhaniad y Ddeiliadaeth (Cymru)'!D$118)</f>
        <v>#VALUE!</v>
      </c>
      <c r="X65" s="4" t="e">
        <f>W65*(1+'Rhaniad y Ddeiliadaeth (Cymru)'!E$118)</f>
        <v>#VALUE!</v>
      </c>
      <c r="Y65" s="4" t="e">
        <f>X65*(1+'Rhaniad y Ddeiliadaeth (Cymru)'!F$118)</f>
        <v>#VALUE!</v>
      </c>
      <c r="Z65" s="4" t="e">
        <f>Y65*(1+'Rhaniad y Ddeiliadaeth (Cymru)'!G$118)</f>
        <v>#VALUE!</v>
      </c>
      <c r="AB65" s="1">
        <v>71</v>
      </c>
      <c r="AC65" s="4">
        <f>IF('Rhaniad y Ddeiliadaeth (Cymru)'!$D$18="Data Cofrestrfa Tir",'Prisiau Tai (Cymru)'!D65,'Prisiau Tai (Cymru)'!V65)</f>
        <v>207223.72543655854</v>
      </c>
      <c r="AD65" s="4">
        <f>IF('Rhaniad y Ddeiliadaeth (Cymru)'!$D$18="Data Cofrestrfa Tir",'Prisiau Tai (Cymru)'!E65,'Prisiau Tai (Cymru)'!W65)</f>
        <v>207685.12040510945</v>
      </c>
      <c r="AE65" s="4">
        <f>IF('Rhaniad y Ddeiliadaeth (Cymru)'!$D$18="Data Cofrestrfa Tir",'Prisiau Tai (Cymru)'!F65,'Prisiau Tai (Cymru)'!X65)</f>
        <v>212155.41386296719</v>
      </c>
      <c r="AF65" s="4">
        <f>IF('Rhaniad y Ddeiliadaeth (Cymru)'!$D$18="Data Cofrestrfa Tir",'Prisiau Tai (Cymru)'!G65,'Prisiau Tai (Cymru)'!Y65)</f>
        <v>220429.29860086486</v>
      </c>
      <c r="AG65" s="4">
        <f>IF('Rhaniad y Ddeiliadaeth (Cymru)'!$D$18="Data Cofrestrfa Tir",'Prisiau Tai (Cymru)'!H65,'Prisiau Tai (Cymru)'!Z65)</f>
        <v>229572.68913268519</v>
      </c>
    </row>
    <row r="66" spans="2:33" x14ac:dyDescent="0.25">
      <c r="B66" s="20">
        <v>72</v>
      </c>
      <c r="C66" s="56">
        <v>205000</v>
      </c>
      <c r="D66" s="57">
        <f>C66*(1+'Rhaniad y Ddeiliadaeth (Cymru)'!C$118)</f>
        <v>210823.14498508436</v>
      </c>
      <c r="E66" s="57">
        <f>D66*(1+'Rhaniad y Ddeiliadaeth (Cymru)'!D$118)</f>
        <v>211292.55425829993</v>
      </c>
      <c r="F66" s="57">
        <f>E66*(1+'Rhaniad y Ddeiliadaeth (Cymru)'!E$118)</f>
        <v>215840.4954933413</v>
      </c>
      <c r="G66" s="57">
        <f>F66*(1+'Rhaniad y Ddeiliadaeth (Cymru)'!F$118)</f>
        <v>224258.09535075579</v>
      </c>
      <c r="H66" s="58">
        <f>G66*(1+'Rhaniad y Ddeiliadaeth (Cymru)'!G$118)</f>
        <v>233560.30408039931</v>
      </c>
      <c r="L66" s="62" t="str">
        <f t="shared" si="0"/>
        <v/>
      </c>
      <c r="M66" s="239"/>
      <c r="N66" s="14">
        <f t="shared" si="3"/>
        <v>1</v>
      </c>
      <c r="T66" s="1">
        <f t="shared" si="1"/>
        <v>72</v>
      </c>
      <c r="U66" s="4" t="str">
        <f t="shared" si="2"/>
        <v/>
      </c>
      <c r="V66" s="4" t="e">
        <f>IF($V$3=$M$3,M66,U66*(1+'Rhaniad y Ddeiliadaeth (Cymru)'!C$118))</f>
        <v>#VALUE!</v>
      </c>
      <c r="W66" s="4" t="e">
        <f>V66*(1+'Rhaniad y Ddeiliadaeth (Cymru)'!D$118)</f>
        <v>#VALUE!</v>
      </c>
      <c r="X66" s="4" t="e">
        <f>W66*(1+'Rhaniad y Ddeiliadaeth (Cymru)'!E$118)</f>
        <v>#VALUE!</v>
      </c>
      <c r="Y66" s="4" t="e">
        <f>X66*(1+'Rhaniad y Ddeiliadaeth (Cymru)'!F$118)</f>
        <v>#VALUE!</v>
      </c>
      <c r="Z66" s="4" t="e">
        <f>Y66*(1+'Rhaniad y Ddeiliadaeth (Cymru)'!G$118)</f>
        <v>#VALUE!</v>
      </c>
      <c r="AB66" s="1">
        <v>72</v>
      </c>
      <c r="AC66" s="4">
        <f>IF('Rhaniad y Ddeiliadaeth (Cymru)'!$D$18="Data Cofrestrfa Tir",'Prisiau Tai (Cymru)'!D66,'Prisiau Tai (Cymru)'!V66)</f>
        <v>210823.14498508436</v>
      </c>
      <c r="AD66" s="4">
        <f>IF('Rhaniad y Ddeiliadaeth (Cymru)'!$D$18="Data Cofrestrfa Tir",'Prisiau Tai (Cymru)'!E66,'Prisiau Tai (Cymru)'!W66)</f>
        <v>211292.55425829993</v>
      </c>
      <c r="AE66" s="4">
        <f>IF('Rhaniad y Ddeiliadaeth (Cymru)'!$D$18="Data Cofrestrfa Tir",'Prisiau Tai (Cymru)'!F66,'Prisiau Tai (Cymru)'!X66)</f>
        <v>215840.4954933413</v>
      </c>
      <c r="AF66" s="4">
        <f>IF('Rhaniad y Ddeiliadaeth (Cymru)'!$D$18="Data Cofrestrfa Tir",'Prisiau Tai (Cymru)'!G66,'Prisiau Tai (Cymru)'!Y66)</f>
        <v>224258.09535075579</v>
      </c>
      <c r="AG66" s="4">
        <f>IF('Rhaniad y Ddeiliadaeth (Cymru)'!$D$18="Data Cofrestrfa Tir",'Prisiau Tai (Cymru)'!H66,'Prisiau Tai (Cymru)'!Z66)</f>
        <v>233560.30408039931</v>
      </c>
    </row>
    <row r="67" spans="2:33" x14ac:dyDescent="0.25">
      <c r="B67" s="20">
        <v>73</v>
      </c>
      <c r="C67" s="56">
        <v>210000</v>
      </c>
      <c r="D67" s="57">
        <f>C67*(1+'Rhaniad y Ddeiliadaeth (Cymru)'!C$118)</f>
        <v>215965.17291154983</v>
      </c>
      <c r="E67" s="57">
        <f>D67*(1+'Rhaniad y Ddeiliadaeth (Cymru)'!D$118)</f>
        <v>216446.03119142921</v>
      </c>
      <c r="F67" s="57">
        <f>E67*(1+'Rhaniad y Ddeiliadaeth (Cymru)'!E$118)</f>
        <v>221104.89782244721</v>
      </c>
      <c r="G67" s="57">
        <f>F67*(1+'Rhaniad y Ddeiliadaeth (Cymru)'!F$118)</f>
        <v>229727.80499345716</v>
      </c>
      <c r="H67" s="58">
        <f>G67*(1+'Rhaniad y Ddeiliadaeth (Cymru)'!G$118)</f>
        <v>239256.89686284808</v>
      </c>
      <c r="L67" s="62" t="str">
        <f t="shared" si="0"/>
        <v/>
      </c>
      <c r="M67" s="239"/>
      <c r="N67" s="14">
        <f t="shared" si="3"/>
        <v>1</v>
      </c>
      <c r="T67" s="1">
        <f t="shared" si="1"/>
        <v>73</v>
      </c>
      <c r="U67" s="4" t="str">
        <f t="shared" si="2"/>
        <v/>
      </c>
      <c r="V67" s="4" t="e">
        <f>IF($V$3=$M$3,M67,U67*(1+'Rhaniad y Ddeiliadaeth (Cymru)'!C$118))</f>
        <v>#VALUE!</v>
      </c>
      <c r="W67" s="4" t="e">
        <f>V67*(1+'Rhaniad y Ddeiliadaeth (Cymru)'!D$118)</f>
        <v>#VALUE!</v>
      </c>
      <c r="X67" s="4" t="e">
        <f>W67*(1+'Rhaniad y Ddeiliadaeth (Cymru)'!E$118)</f>
        <v>#VALUE!</v>
      </c>
      <c r="Y67" s="4" t="e">
        <f>X67*(1+'Rhaniad y Ddeiliadaeth (Cymru)'!F$118)</f>
        <v>#VALUE!</v>
      </c>
      <c r="Z67" s="4" t="e">
        <f>Y67*(1+'Rhaniad y Ddeiliadaeth (Cymru)'!G$118)</f>
        <v>#VALUE!</v>
      </c>
      <c r="AB67" s="1">
        <v>73</v>
      </c>
      <c r="AC67" s="4">
        <f>IF('Rhaniad y Ddeiliadaeth (Cymru)'!$D$18="Data Cofrestrfa Tir",'Prisiau Tai (Cymru)'!D67,'Prisiau Tai (Cymru)'!V67)</f>
        <v>215965.17291154983</v>
      </c>
      <c r="AD67" s="4">
        <f>IF('Rhaniad y Ddeiliadaeth (Cymru)'!$D$18="Data Cofrestrfa Tir",'Prisiau Tai (Cymru)'!E67,'Prisiau Tai (Cymru)'!W67)</f>
        <v>216446.03119142921</v>
      </c>
      <c r="AE67" s="4">
        <f>IF('Rhaniad y Ddeiliadaeth (Cymru)'!$D$18="Data Cofrestrfa Tir",'Prisiau Tai (Cymru)'!F67,'Prisiau Tai (Cymru)'!X67)</f>
        <v>221104.89782244721</v>
      </c>
      <c r="AF67" s="4">
        <f>IF('Rhaniad y Ddeiliadaeth (Cymru)'!$D$18="Data Cofrestrfa Tir",'Prisiau Tai (Cymru)'!G67,'Prisiau Tai (Cymru)'!Y67)</f>
        <v>229727.80499345716</v>
      </c>
      <c r="AG67" s="4">
        <f>IF('Rhaniad y Ddeiliadaeth (Cymru)'!$D$18="Data Cofrestrfa Tir",'Prisiau Tai (Cymru)'!H67,'Prisiau Tai (Cymru)'!Z67)</f>
        <v>239256.89686284808</v>
      </c>
    </row>
    <row r="68" spans="2:33" x14ac:dyDescent="0.25">
      <c r="B68" s="20">
        <v>74</v>
      </c>
      <c r="C68" s="56">
        <v>215000</v>
      </c>
      <c r="D68" s="57">
        <f>C68*(1+'Rhaniad y Ddeiliadaeth (Cymru)'!C$118)</f>
        <v>221107.2008380153</v>
      </c>
      <c r="E68" s="57">
        <f>D68*(1+'Rhaniad y Ddeiliadaeth (Cymru)'!D$118)</f>
        <v>221599.50812455846</v>
      </c>
      <c r="F68" s="57">
        <f>E68*(1+'Rhaniad y Ddeiliadaeth (Cymru)'!E$118)</f>
        <v>226369.30015155306</v>
      </c>
      <c r="G68" s="57">
        <f>F68*(1+'Rhaniad y Ddeiliadaeth (Cymru)'!F$118)</f>
        <v>235197.51463615851</v>
      </c>
      <c r="H68" s="58">
        <f>G68*(1+'Rhaniad y Ddeiliadaeth (Cymru)'!G$118)</f>
        <v>244953.48964529682</v>
      </c>
      <c r="L68" s="62" t="str">
        <f t="shared" ref="L68:L84" si="4">IF(ISBLANK($K$4),"",B68)</f>
        <v/>
      </c>
      <c r="M68" s="239"/>
      <c r="N68" s="14">
        <f t="shared" si="3"/>
        <v>1</v>
      </c>
      <c r="T68" s="1">
        <f t="shared" ref="T68:T84" si="5">B68</f>
        <v>74</v>
      </c>
      <c r="U68" s="4" t="str">
        <f t="shared" ref="U68:U84" si="6">IF($M$3=$U$3,M68,"")</f>
        <v/>
      </c>
      <c r="V68" s="4" t="e">
        <f>IF($V$3=$M$3,M68,U68*(1+'Rhaniad y Ddeiliadaeth (Cymru)'!C$118))</f>
        <v>#VALUE!</v>
      </c>
      <c r="W68" s="4" t="e">
        <f>V68*(1+'Rhaniad y Ddeiliadaeth (Cymru)'!D$118)</f>
        <v>#VALUE!</v>
      </c>
      <c r="X68" s="4" t="e">
        <f>W68*(1+'Rhaniad y Ddeiliadaeth (Cymru)'!E$118)</f>
        <v>#VALUE!</v>
      </c>
      <c r="Y68" s="4" t="e">
        <f>X68*(1+'Rhaniad y Ddeiliadaeth (Cymru)'!F$118)</f>
        <v>#VALUE!</v>
      </c>
      <c r="Z68" s="4" t="e">
        <f>Y68*(1+'Rhaniad y Ddeiliadaeth (Cymru)'!G$118)</f>
        <v>#VALUE!</v>
      </c>
      <c r="AB68" s="1">
        <v>74</v>
      </c>
      <c r="AC68" s="4">
        <f>IF('Rhaniad y Ddeiliadaeth (Cymru)'!$D$18="Data Cofrestrfa Tir",'Prisiau Tai (Cymru)'!D68,'Prisiau Tai (Cymru)'!V68)</f>
        <v>221107.2008380153</v>
      </c>
      <c r="AD68" s="4">
        <f>IF('Rhaniad y Ddeiliadaeth (Cymru)'!$D$18="Data Cofrestrfa Tir",'Prisiau Tai (Cymru)'!E68,'Prisiau Tai (Cymru)'!W68)</f>
        <v>221599.50812455846</v>
      </c>
      <c r="AE68" s="4">
        <f>IF('Rhaniad y Ddeiliadaeth (Cymru)'!$D$18="Data Cofrestrfa Tir",'Prisiau Tai (Cymru)'!F68,'Prisiau Tai (Cymru)'!X68)</f>
        <v>226369.30015155306</v>
      </c>
      <c r="AF68" s="4">
        <f>IF('Rhaniad y Ddeiliadaeth (Cymru)'!$D$18="Data Cofrestrfa Tir",'Prisiau Tai (Cymru)'!G68,'Prisiau Tai (Cymru)'!Y68)</f>
        <v>235197.51463615851</v>
      </c>
      <c r="AG68" s="4">
        <f>IF('Rhaniad y Ddeiliadaeth (Cymru)'!$D$18="Data Cofrestrfa Tir",'Prisiau Tai (Cymru)'!H68,'Prisiau Tai (Cymru)'!Z68)</f>
        <v>244953.48964529682</v>
      </c>
    </row>
    <row r="69" spans="2:33" x14ac:dyDescent="0.25">
      <c r="B69" s="20">
        <v>75</v>
      </c>
      <c r="C69" s="56">
        <v>218000</v>
      </c>
      <c r="D69" s="57">
        <f>C69*(1+'Rhaniad y Ddeiliadaeth (Cymru)'!C$118)</f>
        <v>224192.41759389458</v>
      </c>
      <c r="E69" s="57">
        <f>D69*(1+'Rhaniad y Ddeiliadaeth (Cymru)'!D$118)</f>
        <v>224691.59428443603</v>
      </c>
      <c r="F69" s="57">
        <f>E69*(1+'Rhaniad y Ddeiliadaeth (Cymru)'!E$118)</f>
        <v>229527.9415490166</v>
      </c>
      <c r="G69" s="57">
        <f>F69*(1+'Rhaniad y Ddeiliadaeth (Cymru)'!F$118)</f>
        <v>238479.34042177931</v>
      </c>
      <c r="H69" s="58">
        <f>G69*(1+'Rhaniad y Ddeiliadaeth (Cymru)'!G$118)</f>
        <v>248371.44531476608</v>
      </c>
      <c r="L69" s="62" t="str">
        <f t="shared" si="4"/>
        <v/>
      </c>
      <c r="M69" s="239"/>
      <c r="N69" s="14">
        <f t="shared" ref="N69:N84" si="7">IF(ISBLANK(M69),1,0)</f>
        <v>1</v>
      </c>
      <c r="T69" s="1">
        <f t="shared" si="5"/>
        <v>75</v>
      </c>
      <c r="U69" s="4" t="str">
        <f t="shared" si="6"/>
        <v/>
      </c>
      <c r="V69" s="4" t="e">
        <f>IF($V$3=$M$3,M69,U69*(1+'Rhaniad y Ddeiliadaeth (Cymru)'!C$118))</f>
        <v>#VALUE!</v>
      </c>
      <c r="W69" s="4" t="e">
        <f>V69*(1+'Rhaniad y Ddeiliadaeth (Cymru)'!D$118)</f>
        <v>#VALUE!</v>
      </c>
      <c r="X69" s="4" t="e">
        <f>W69*(1+'Rhaniad y Ddeiliadaeth (Cymru)'!E$118)</f>
        <v>#VALUE!</v>
      </c>
      <c r="Y69" s="4" t="e">
        <f>X69*(1+'Rhaniad y Ddeiliadaeth (Cymru)'!F$118)</f>
        <v>#VALUE!</v>
      </c>
      <c r="Z69" s="4" t="e">
        <f>Y69*(1+'Rhaniad y Ddeiliadaeth (Cymru)'!G$118)</f>
        <v>#VALUE!</v>
      </c>
      <c r="AB69" s="1">
        <v>75</v>
      </c>
      <c r="AC69" s="4">
        <f>IF('Rhaniad y Ddeiliadaeth (Cymru)'!$D$18="Data Cofrestrfa Tir",'Prisiau Tai (Cymru)'!D69,'Prisiau Tai (Cymru)'!V69)</f>
        <v>224192.41759389458</v>
      </c>
      <c r="AD69" s="4">
        <f>IF('Rhaniad y Ddeiliadaeth (Cymru)'!$D$18="Data Cofrestrfa Tir",'Prisiau Tai (Cymru)'!E69,'Prisiau Tai (Cymru)'!W69)</f>
        <v>224691.59428443603</v>
      </c>
      <c r="AE69" s="4">
        <f>IF('Rhaniad y Ddeiliadaeth (Cymru)'!$D$18="Data Cofrestrfa Tir",'Prisiau Tai (Cymru)'!F69,'Prisiau Tai (Cymru)'!X69)</f>
        <v>229527.9415490166</v>
      </c>
      <c r="AF69" s="4">
        <f>IF('Rhaniad y Ddeiliadaeth (Cymru)'!$D$18="Data Cofrestrfa Tir",'Prisiau Tai (Cymru)'!G69,'Prisiau Tai (Cymru)'!Y69)</f>
        <v>238479.34042177931</v>
      </c>
      <c r="AG69" s="4">
        <f>IF('Rhaniad y Ddeiliadaeth (Cymru)'!$D$18="Data Cofrestrfa Tir",'Prisiau Tai (Cymru)'!H69,'Prisiau Tai (Cymru)'!Z69)</f>
        <v>248371.44531476608</v>
      </c>
    </row>
    <row r="70" spans="2:33" x14ac:dyDescent="0.25">
      <c r="B70" s="20">
        <v>76</v>
      </c>
      <c r="C70" s="56">
        <v>220995</v>
      </c>
      <c r="D70" s="57">
        <f>C70*(1+'Rhaniad y Ddeiliadaeth (Cymru)'!C$118)</f>
        <v>227272.49232184741</v>
      </c>
      <c r="E70" s="57">
        <f>D70*(1+'Rhaniad y Ddeiliadaeth (Cymru)'!D$118)</f>
        <v>227778.52696738049</v>
      </c>
      <c r="F70" s="57">
        <f>E70*(1+'Rhaniad y Ddeiliadaeth (Cymru)'!E$118)</f>
        <v>232681.31854415106</v>
      </c>
      <c r="G70" s="57">
        <f>F70*(1+'Rhaniad y Ddeiliadaeth (Cymru)'!F$118)</f>
        <v>241755.69649775748</v>
      </c>
      <c r="H70" s="58">
        <f>G70*(1+'Rhaniad y Ddeiliadaeth (Cymru)'!G$118)</f>
        <v>251783.70439145295</v>
      </c>
      <c r="L70" s="62" t="str">
        <f t="shared" si="4"/>
        <v/>
      </c>
      <c r="M70" s="239"/>
      <c r="N70" s="14">
        <f t="shared" si="7"/>
        <v>1</v>
      </c>
      <c r="T70" s="1">
        <f t="shared" si="5"/>
        <v>76</v>
      </c>
      <c r="U70" s="4" t="str">
        <f t="shared" si="6"/>
        <v/>
      </c>
      <c r="V70" s="4" t="e">
        <f>IF($V$3=$M$3,M70,U70*(1+'Rhaniad y Ddeiliadaeth (Cymru)'!C$118))</f>
        <v>#VALUE!</v>
      </c>
      <c r="W70" s="4" t="e">
        <f>V70*(1+'Rhaniad y Ddeiliadaeth (Cymru)'!D$118)</f>
        <v>#VALUE!</v>
      </c>
      <c r="X70" s="4" t="e">
        <f>W70*(1+'Rhaniad y Ddeiliadaeth (Cymru)'!E$118)</f>
        <v>#VALUE!</v>
      </c>
      <c r="Y70" s="4" t="e">
        <f>X70*(1+'Rhaniad y Ddeiliadaeth (Cymru)'!F$118)</f>
        <v>#VALUE!</v>
      </c>
      <c r="Z70" s="4" t="e">
        <f>Y70*(1+'Rhaniad y Ddeiliadaeth (Cymru)'!G$118)</f>
        <v>#VALUE!</v>
      </c>
      <c r="AB70" s="1">
        <v>76</v>
      </c>
      <c r="AC70" s="4">
        <f>IF('Rhaniad y Ddeiliadaeth (Cymru)'!$D$18="Data Cofrestrfa Tir",'Prisiau Tai (Cymru)'!D70,'Prisiau Tai (Cymru)'!V70)</f>
        <v>227272.49232184741</v>
      </c>
      <c r="AD70" s="4">
        <f>IF('Rhaniad y Ddeiliadaeth (Cymru)'!$D$18="Data Cofrestrfa Tir",'Prisiau Tai (Cymru)'!E70,'Prisiau Tai (Cymru)'!W70)</f>
        <v>227778.52696738049</v>
      </c>
      <c r="AE70" s="4">
        <f>IF('Rhaniad y Ddeiliadaeth (Cymru)'!$D$18="Data Cofrestrfa Tir",'Prisiau Tai (Cymru)'!F70,'Prisiau Tai (Cymru)'!X70)</f>
        <v>232681.31854415106</v>
      </c>
      <c r="AF70" s="4">
        <f>IF('Rhaniad y Ddeiliadaeth (Cymru)'!$D$18="Data Cofrestrfa Tir",'Prisiau Tai (Cymru)'!G70,'Prisiau Tai (Cymru)'!Y70)</f>
        <v>241755.69649775748</v>
      </c>
      <c r="AG70" s="4">
        <f>IF('Rhaniad y Ddeiliadaeth (Cymru)'!$D$18="Data Cofrestrfa Tir",'Prisiau Tai (Cymru)'!H70,'Prisiau Tai (Cymru)'!Z70)</f>
        <v>251783.70439145295</v>
      </c>
    </row>
    <row r="71" spans="2:33" x14ac:dyDescent="0.25">
      <c r="B71" s="20">
        <v>77</v>
      </c>
      <c r="C71" s="56">
        <v>225000</v>
      </c>
      <c r="D71" s="57">
        <f>C71*(1+'Rhaniad y Ddeiliadaeth (Cymru)'!C$118)</f>
        <v>231391.25669094626</v>
      </c>
      <c r="E71" s="57">
        <f>D71*(1+'Rhaniad y Ddeiliadaeth (Cymru)'!D$118)</f>
        <v>231906.46199081701</v>
      </c>
      <c r="F71" s="57">
        <f>E71*(1+'Rhaniad y Ddeiliadaeth (Cymru)'!E$118)</f>
        <v>236898.10480976486</v>
      </c>
      <c r="G71" s="57">
        <f>F71*(1+'Rhaniad y Ddeiliadaeth (Cymru)'!F$118)</f>
        <v>246136.93392156126</v>
      </c>
      <c r="H71" s="58">
        <f>G71*(1+'Rhaniad y Ddeiliadaeth (Cymru)'!G$118)</f>
        <v>256346.6752101944</v>
      </c>
      <c r="L71" s="62" t="str">
        <f t="shared" si="4"/>
        <v/>
      </c>
      <c r="M71" s="239"/>
      <c r="N71" s="14">
        <f t="shared" si="7"/>
        <v>1</v>
      </c>
      <c r="T71" s="1">
        <f t="shared" si="5"/>
        <v>77</v>
      </c>
      <c r="U71" s="4" t="str">
        <f t="shared" si="6"/>
        <v/>
      </c>
      <c r="V71" s="4" t="e">
        <f>IF($V$3=$M$3,M71,U71*(1+'Rhaniad y Ddeiliadaeth (Cymru)'!C$118))</f>
        <v>#VALUE!</v>
      </c>
      <c r="W71" s="4" t="e">
        <f>V71*(1+'Rhaniad y Ddeiliadaeth (Cymru)'!D$118)</f>
        <v>#VALUE!</v>
      </c>
      <c r="X71" s="4" t="e">
        <f>W71*(1+'Rhaniad y Ddeiliadaeth (Cymru)'!E$118)</f>
        <v>#VALUE!</v>
      </c>
      <c r="Y71" s="4" t="e">
        <f>X71*(1+'Rhaniad y Ddeiliadaeth (Cymru)'!F$118)</f>
        <v>#VALUE!</v>
      </c>
      <c r="Z71" s="4" t="e">
        <f>Y71*(1+'Rhaniad y Ddeiliadaeth (Cymru)'!G$118)</f>
        <v>#VALUE!</v>
      </c>
      <c r="AB71" s="1">
        <v>77</v>
      </c>
      <c r="AC71" s="4">
        <f>IF('Rhaniad y Ddeiliadaeth (Cymru)'!$D$18="Data Cofrestrfa Tir",'Prisiau Tai (Cymru)'!D71,'Prisiau Tai (Cymru)'!V71)</f>
        <v>231391.25669094626</v>
      </c>
      <c r="AD71" s="4">
        <f>IF('Rhaniad y Ddeiliadaeth (Cymru)'!$D$18="Data Cofrestrfa Tir",'Prisiau Tai (Cymru)'!E71,'Prisiau Tai (Cymru)'!W71)</f>
        <v>231906.46199081701</v>
      </c>
      <c r="AE71" s="4">
        <f>IF('Rhaniad y Ddeiliadaeth (Cymru)'!$D$18="Data Cofrestrfa Tir",'Prisiau Tai (Cymru)'!F71,'Prisiau Tai (Cymru)'!X71)</f>
        <v>236898.10480976486</v>
      </c>
      <c r="AF71" s="4">
        <f>IF('Rhaniad y Ddeiliadaeth (Cymru)'!$D$18="Data Cofrestrfa Tir",'Prisiau Tai (Cymru)'!G71,'Prisiau Tai (Cymru)'!Y71)</f>
        <v>246136.93392156126</v>
      </c>
      <c r="AG71" s="4">
        <f>IF('Rhaniad y Ddeiliadaeth (Cymru)'!$D$18="Data Cofrestrfa Tir",'Prisiau Tai (Cymru)'!H71,'Prisiau Tai (Cymru)'!Z71)</f>
        <v>256346.6752101944</v>
      </c>
    </row>
    <row r="72" spans="2:33" x14ac:dyDescent="0.25">
      <c r="B72" s="20">
        <v>78</v>
      </c>
      <c r="C72" s="56">
        <v>230000</v>
      </c>
      <c r="D72" s="57">
        <f>C72*(1+'Rhaniad y Ddeiliadaeth (Cymru)'!C$118)</f>
        <v>236533.28461741173</v>
      </c>
      <c r="E72" s="57">
        <f>D72*(1+'Rhaniad y Ddeiliadaeth (Cymru)'!D$118)</f>
        <v>237059.93892394629</v>
      </c>
      <c r="F72" s="57">
        <f>E72*(1+'Rhaniad y Ddeiliadaeth (Cymru)'!E$118)</f>
        <v>242162.50713887074</v>
      </c>
      <c r="G72" s="57">
        <f>F72*(1+'Rhaniad y Ddeiliadaeth (Cymru)'!F$118)</f>
        <v>251606.6435642626</v>
      </c>
      <c r="H72" s="58">
        <f>G72*(1+'Rhaniad y Ddeiliadaeth (Cymru)'!G$118)</f>
        <v>262043.26799264314</v>
      </c>
      <c r="L72" s="62" t="str">
        <f t="shared" si="4"/>
        <v/>
      </c>
      <c r="M72" s="239"/>
      <c r="N72" s="14">
        <f t="shared" si="7"/>
        <v>1</v>
      </c>
      <c r="T72" s="1">
        <f t="shared" si="5"/>
        <v>78</v>
      </c>
      <c r="U72" s="4" t="str">
        <f t="shared" si="6"/>
        <v/>
      </c>
      <c r="V72" s="4" t="e">
        <f>IF($V$3=$M$3,M72,U72*(1+'Rhaniad y Ddeiliadaeth (Cymru)'!C$118))</f>
        <v>#VALUE!</v>
      </c>
      <c r="W72" s="4" t="e">
        <f>V72*(1+'Rhaniad y Ddeiliadaeth (Cymru)'!D$118)</f>
        <v>#VALUE!</v>
      </c>
      <c r="X72" s="4" t="e">
        <f>W72*(1+'Rhaniad y Ddeiliadaeth (Cymru)'!E$118)</f>
        <v>#VALUE!</v>
      </c>
      <c r="Y72" s="4" t="e">
        <f>X72*(1+'Rhaniad y Ddeiliadaeth (Cymru)'!F$118)</f>
        <v>#VALUE!</v>
      </c>
      <c r="Z72" s="4" t="e">
        <f>Y72*(1+'Rhaniad y Ddeiliadaeth (Cymru)'!G$118)</f>
        <v>#VALUE!</v>
      </c>
      <c r="AB72" s="1">
        <v>78</v>
      </c>
      <c r="AC72" s="4">
        <f>IF('Rhaniad y Ddeiliadaeth (Cymru)'!$D$18="Data Cofrestrfa Tir",'Prisiau Tai (Cymru)'!D72,'Prisiau Tai (Cymru)'!V72)</f>
        <v>236533.28461741173</v>
      </c>
      <c r="AD72" s="4">
        <f>IF('Rhaniad y Ddeiliadaeth (Cymru)'!$D$18="Data Cofrestrfa Tir",'Prisiau Tai (Cymru)'!E72,'Prisiau Tai (Cymru)'!W72)</f>
        <v>237059.93892394629</v>
      </c>
      <c r="AE72" s="4">
        <f>IF('Rhaniad y Ddeiliadaeth (Cymru)'!$D$18="Data Cofrestrfa Tir",'Prisiau Tai (Cymru)'!F72,'Prisiau Tai (Cymru)'!X72)</f>
        <v>242162.50713887074</v>
      </c>
      <c r="AF72" s="4">
        <f>IF('Rhaniad y Ddeiliadaeth (Cymru)'!$D$18="Data Cofrestrfa Tir",'Prisiau Tai (Cymru)'!G72,'Prisiau Tai (Cymru)'!Y72)</f>
        <v>251606.6435642626</v>
      </c>
      <c r="AG72" s="4">
        <f>IF('Rhaniad y Ddeiliadaeth (Cymru)'!$D$18="Data Cofrestrfa Tir",'Prisiau Tai (Cymru)'!H72,'Prisiau Tai (Cymru)'!Z72)</f>
        <v>262043.26799264314</v>
      </c>
    </row>
    <row r="73" spans="2:33" x14ac:dyDescent="0.25">
      <c r="B73" s="20">
        <v>79</v>
      </c>
      <c r="C73" s="56">
        <v>235000</v>
      </c>
      <c r="D73" s="57">
        <f>C73*(1+'Rhaniad y Ddeiliadaeth (Cymru)'!C$118)</f>
        <v>241675.3125438772</v>
      </c>
      <c r="E73" s="57">
        <f>D73*(1+'Rhaniad y Ddeiliadaeth (Cymru)'!D$118)</f>
        <v>242213.41585707554</v>
      </c>
      <c r="F73" s="57">
        <f>E73*(1+'Rhaniad y Ddeiliadaeth (Cymru)'!E$118)</f>
        <v>247426.90946797663</v>
      </c>
      <c r="G73" s="57">
        <f>F73*(1+'Rhaniad y Ddeiliadaeth (Cymru)'!F$118)</f>
        <v>257076.35320696398</v>
      </c>
      <c r="H73" s="58">
        <f>G73*(1+'Rhaniad y Ddeiliadaeth (Cymru)'!G$118)</f>
        <v>267739.86077509192</v>
      </c>
      <c r="L73" s="62" t="str">
        <f t="shared" si="4"/>
        <v/>
      </c>
      <c r="M73" s="239"/>
      <c r="N73" s="14">
        <f t="shared" si="7"/>
        <v>1</v>
      </c>
      <c r="T73" s="1">
        <f t="shared" si="5"/>
        <v>79</v>
      </c>
      <c r="U73" s="4" t="str">
        <f t="shared" si="6"/>
        <v/>
      </c>
      <c r="V73" s="4" t="e">
        <f>IF($V$3=$M$3,M73,U73*(1+'Rhaniad y Ddeiliadaeth (Cymru)'!C$118))</f>
        <v>#VALUE!</v>
      </c>
      <c r="W73" s="4" t="e">
        <f>V73*(1+'Rhaniad y Ddeiliadaeth (Cymru)'!D$118)</f>
        <v>#VALUE!</v>
      </c>
      <c r="X73" s="4" t="e">
        <f>W73*(1+'Rhaniad y Ddeiliadaeth (Cymru)'!E$118)</f>
        <v>#VALUE!</v>
      </c>
      <c r="Y73" s="4" t="e">
        <f>X73*(1+'Rhaniad y Ddeiliadaeth (Cymru)'!F$118)</f>
        <v>#VALUE!</v>
      </c>
      <c r="Z73" s="4" t="e">
        <f>Y73*(1+'Rhaniad y Ddeiliadaeth (Cymru)'!G$118)</f>
        <v>#VALUE!</v>
      </c>
      <c r="AB73" s="1">
        <v>79</v>
      </c>
      <c r="AC73" s="4">
        <f>IF('Rhaniad y Ddeiliadaeth (Cymru)'!$D$18="Data Cofrestrfa Tir",'Prisiau Tai (Cymru)'!D73,'Prisiau Tai (Cymru)'!V73)</f>
        <v>241675.3125438772</v>
      </c>
      <c r="AD73" s="4">
        <f>IF('Rhaniad y Ddeiliadaeth (Cymru)'!$D$18="Data Cofrestrfa Tir",'Prisiau Tai (Cymru)'!E73,'Prisiau Tai (Cymru)'!W73)</f>
        <v>242213.41585707554</v>
      </c>
      <c r="AE73" s="4">
        <f>IF('Rhaniad y Ddeiliadaeth (Cymru)'!$D$18="Data Cofrestrfa Tir",'Prisiau Tai (Cymru)'!F73,'Prisiau Tai (Cymru)'!X73)</f>
        <v>247426.90946797663</v>
      </c>
      <c r="AF73" s="4">
        <f>IF('Rhaniad y Ddeiliadaeth (Cymru)'!$D$18="Data Cofrestrfa Tir",'Prisiau Tai (Cymru)'!G73,'Prisiau Tai (Cymru)'!Y73)</f>
        <v>257076.35320696398</v>
      </c>
      <c r="AG73" s="4">
        <f>IF('Rhaniad y Ddeiliadaeth (Cymru)'!$D$18="Data Cofrestrfa Tir",'Prisiau Tai (Cymru)'!H73,'Prisiau Tai (Cymru)'!Z73)</f>
        <v>267739.86077509192</v>
      </c>
    </row>
    <row r="74" spans="2:33" x14ac:dyDescent="0.25">
      <c r="B74" s="20">
        <v>80</v>
      </c>
      <c r="C74" s="56">
        <v>239950</v>
      </c>
      <c r="D74" s="57">
        <f>C74*(1+'Rhaniad y Ddeiliadaeth (Cymru)'!C$118)</f>
        <v>246765.92019107801</v>
      </c>
      <c r="E74" s="57">
        <f>D74*(1+'Rhaniad y Ddeiliadaeth (Cymru)'!D$118)</f>
        <v>247315.35802087351</v>
      </c>
      <c r="F74" s="57">
        <f>E74*(1+'Rhaniad y Ddeiliadaeth (Cymru)'!E$118)</f>
        <v>252638.66777379144</v>
      </c>
      <c r="G74" s="57">
        <f>F74*(1+'Rhaniad y Ddeiliadaeth (Cymru)'!F$118)</f>
        <v>262491.36575323832</v>
      </c>
      <c r="H74" s="58">
        <f>G74*(1+'Rhaniad y Ddeiliadaeth (Cymru)'!G$118)</f>
        <v>273379.48762971617</v>
      </c>
      <c r="L74" s="62" t="str">
        <f t="shared" si="4"/>
        <v/>
      </c>
      <c r="M74" s="239"/>
      <c r="N74" s="14">
        <f t="shared" si="7"/>
        <v>1</v>
      </c>
      <c r="T74" s="1">
        <f t="shared" si="5"/>
        <v>80</v>
      </c>
      <c r="U74" s="4" t="str">
        <f t="shared" si="6"/>
        <v/>
      </c>
      <c r="V74" s="4" t="e">
        <f>IF($V$3=$M$3,M74,U74*(1+'Rhaniad y Ddeiliadaeth (Cymru)'!C$118))</f>
        <v>#VALUE!</v>
      </c>
      <c r="W74" s="4" t="e">
        <f>V74*(1+'Rhaniad y Ddeiliadaeth (Cymru)'!D$118)</f>
        <v>#VALUE!</v>
      </c>
      <c r="X74" s="4" t="e">
        <f>W74*(1+'Rhaniad y Ddeiliadaeth (Cymru)'!E$118)</f>
        <v>#VALUE!</v>
      </c>
      <c r="Y74" s="4" t="e">
        <f>X74*(1+'Rhaniad y Ddeiliadaeth (Cymru)'!F$118)</f>
        <v>#VALUE!</v>
      </c>
      <c r="Z74" s="4" t="e">
        <f>Y74*(1+'Rhaniad y Ddeiliadaeth (Cymru)'!G$118)</f>
        <v>#VALUE!</v>
      </c>
      <c r="AB74" s="1">
        <v>80</v>
      </c>
      <c r="AC74" s="4">
        <f>IF('Rhaniad y Ddeiliadaeth (Cymru)'!$D$18="Data Cofrestrfa Tir",'Prisiau Tai (Cymru)'!D74,'Prisiau Tai (Cymru)'!V74)</f>
        <v>246765.92019107801</v>
      </c>
      <c r="AD74" s="4">
        <f>IF('Rhaniad y Ddeiliadaeth (Cymru)'!$D$18="Data Cofrestrfa Tir",'Prisiau Tai (Cymru)'!E74,'Prisiau Tai (Cymru)'!W74)</f>
        <v>247315.35802087351</v>
      </c>
      <c r="AE74" s="4">
        <f>IF('Rhaniad y Ddeiliadaeth (Cymru)'!$D$18="Data Cofrestrfa Tir",'Prisiau Tai (Cymru)'!F74,'Prisiau Tai (Cymru)'!X74)</f>
        <v>252638.66777379144</v>
      </c>
      <c r="AF74" s="4">
        <f>IF('Rhaniad y Ddeiliadaeth (Cymru)'!$D$18="Data Cofrestrfa Tir",'Prisiau Tai (Cymru)'!G74,'Prisiau Tai (Cymru)'!Y74)</f>
        <v>262491.36575323832</v>
      </c>
      <c r="AG74" s="4">
        <f>IF('Rhaniad y Ddeiliadaeth (Cymru)'!$D$18="Data Cofrestrfa Tir",'Prisiau Tai (Cymru)'!H74,'Prisiau Tai (Cymru)'!Z74)</f>
        <v>273379.48762971617</v>
      </c>
    </row>
    <row r="75" spans="2:33" x14ac:dyDescent="0.25">
      <c r="B75" s="20">
        <v>81</v>
      </c>
      <c r="C75" s="56">
        <v>244000</v>
      </c>
      <c r="D75" s="57">
        <f>C75*(1+'Rhaniad y Ddeiliadaeth (Cymru)'!C$118)</f>
        <v>250930.96281151506</v>
      </c>
      <c r="E75" s="57">
        <f>D75*(1+'Rhaniad y Ddeiliadaeth (Cymru)'!D$118)</f>
        <v>251489.67433670824</v>
      </c>
      <c r="F75" s="57">
        <f>E75*(1+'Rhaniad y Ddeiliadaeth (Cymru)'!E$118)</f>
        <v>256902.83366036724</v>
      </c>
      <c r="G75" s="57">
        <f>F75*(1+'Rhaniad y Ddeiliadaeth (Cymru)'!F$118)</f>
        <v>266921.83056382643</v>
      </c>
      <c r="H75" s="58">
        <f>G75*(1+'Rhaniad y Ddeiliadaeth (Cymru)'!G$118)</f>
        <v>277993.72778349969</v>
      </c>
      <c r="L75" s="62" t="str">
        <f t="shared" si="4"/>
        <v/>
      </c>
      <c r="M75" s="239"/>
      <c r="N75" s="14">
        <f t="shared" si="7"/>
        <v>1</v>
      </c>
      <c r="T75" s="1">
        <f t="shared" si="5"/>
        <v>81</v>
      </c>
      <c r="U75" s="4" t="str">
        <f t="shared" si="6"/>
        <v/>
      </c>
      <c r="V75" s="4" t="e">
        <f>IF($V$3=$M$3,M75,U75*(1+'Rhaniad y Ddeiliadaeth (Cymru)'!C$118))</f>
        <v>#VALUE!</v>
      </c>
      <c r="W75" s="4" t="e">
        <f>V75*(1+'Rhaniad y Ddeiliadaeth (Cymru)'!D$118)</f>
        <v>#VALUE!</v>
      </c>
      <c r="X75" s="4" t="e">
        <f>W75*(1+'Rhaniad y Ddeiliadaeth (Cymru)'!E$118)</f>
        <v>#VALUE!</v>
      </c>
      <c r="Y75" s="4" t="e">
        <f>X75*(1+'Rhaniad y Ddeiliadaeth (Cymru)'!F$118)</f>
        <v>#VALUE!</v>
      </c>
      <c r="Z75" s="4" t="e">
        <f>Y75*(1+'Rhaniad y Ddeiliadaeth (Cymru)'!G$118)</f>
        <v>#VALUE!</v>
      </c>
      <c r="AB75" s="1">
        <v>81</v>
      </c>
      <c r="AC75" s="4">
        <f>IF('Rhaniad y Ddeiliadaeth (Cymru)'!$D$18="Data Cofrestrfa Tir",'Prisiau Tai (Cymru)'!D75,'Prisiau Tai (Cymru)'!V75)</f>
        <v>250930.96281151506</v>
      </c>
      <c r="AD75" s="4">
        <f>IF('Rhaniad y Ddeiliadaeth (Cymru)'!$D$18="Data Cofrestrfa Tir",'Prisiau Tai (Cymru)'!E75,'Prisiau Tai (Cymru)'!W75)</f>
        <v>251489.67433670824</v>
      </c>
      <c r="AE75" s="4">
        <f>IF('Rhaniad y Ddeiliadaeth (Cymru)'!$D$18="Data Cofrestrfa Tir",'Prisiau Tai (Cymru)'!F75,'Prisiau Tai (Cymru)'!X75)</f>
        <v>256902.83366036724</v>
      </c>
      <c r="AF75" s="4">
        <f>IF('Rhaniad y Ddeiliadaeth (Cymru)'!$D$18="Data Cofrestrfa Tir",'Prisiau Tai (Cymru)'!G75,'Prisiau Tai (Cymru)'!Y75)</f>
        <v>266921.83056382643</v>
      </c>
      <c r="AG75" s="4">
        <f>IF('Rhaniad y Ddeiliadaeth (Cymru)'!$D$18="Data Cofrestrfa Tir",'Prisiau Tai (Cymru)'!H75,'Prisiau Tai (Cymru)'!Z75)</f>
        <v>277993.72778349969</v>
      </c>
    </row>
    <row r="76" spans="2:33" x14ac:dyDescent="0.25">
      <c r="B76" s="20">
        <v>82</v>
      </c>
      <c r="C76" s="56">
        <v>249000</v>
      </c>
      <c r="D76" s="57">
        <f>C76*(1+'Rhaniad y Ddeiliadaeth (Cymru)'!C$118)</f>
        <v>256072.99073798052</v>
      </c>
      <c r="E76" s="57">
        <f>D76*(1+'Rhaniad y Ddeiliadaeth (Cymru)'!D$118)</f>
        <v>256643.15126983749</v>
      </c>
      <c r="F76" s="57">
        <f>E76*(1+'Rhaniad y Ddeiliadaeth (Cymru)'!E$118)</f>
        <v>262167.23598947312</v>
      </c>
      <c r="G76" s="57">
        <f>F76*(1+'Rhaniad y Ddeiliadaeth (Cymru)'!F$118)</f>
        <v>272391.5402065278</v>
      </c>
      <c r="H76" s="58">
        <f>G76*(1+'Rhaniad y Ddeiliadaeth (Cymru)'!G$118)</f>
        <v>283690.3205659485</v>
      </c>
      <c r="L76" s="62" t="str">
        <f t="shared" si="4"/>
        <v/>
      </c>
      <c r="M76" s="239"/>
      <c r="N76" s="14">
        <f t="shared" si="7"/>
        <v>1</v>
      </c>
      <c r="T76" s="1">
        <f t="shared" si="5"/>
        <v>82</v>
      </c>
      <c r="U76" s="4" t="str">
        <f t="shared" si="6"/>
        <v/>
      </c>
      <c r="V76" s="4" t="e">
        <f>IF($V$3=$M$3,M76,U76*(1+'Rhaniad y Ddeiliadaeth (Cymru)'!C$118))</f>
        <v>#VALUE!</v>
      </c>
      <c r="W76" s="4" t="e">
        <f>V76*(1+'Rhaniad y Ddeiliadaeth (Cymru)'!D$118)</f>
        <v>#VALUE!</v>
      </c>
      <c r="X76" s="4" t="e">
        <f>W76*(1+'Rhaniad y Ddeiliadaeth (Cymru)'!E$118)</f>
        <v>#VALUE!</v>
      </c>
      <c r="Y76" s="4" t="e">
        <f>X76*(1+'Rhaniad y Ddeiliadaeth (Cymru)'!F$118)</f>
        <v>#VALUE!</v>
      </c>
      <c r="Z76" s="4" t="e">
        <f>Y76*(1+'Rhaniad y Ddeiliadaeth (Cymru)'!G$118)</f>
        <v>#VALUE!</v>
      </c>
      <c r="AB76" s="1">
        <v>82</v>
      </c>
      <c r="AC76" s="4">
        <f>IF('Rhaniad y Ddeiliadaeth (Cymru)'!$D$18="Data Cofrestrfa Tir",'Prisiau Tai (Cymru)'!D76,'Prisiau Tai (Cymru)'!V76)</f>
        <v>256072.99073798052</v>
      </c>
      <c r="AD76" s="4">
        <f>IF('Rhaniad y Ddeiliadaeth (Cymru)'!$D$18="Data Cofrestrfa Tir",'Prisiau Tai (Cymru)'!E76,'Prisiau Tai (Cymru)'!W76)</f>
        <v>256643.15126983749</v>
      </c>
      <c r="AE76" s="4">
        <f>IF('Rhaniad y Ddeiliadaeth (Cymru)'!$D$18="Data Cofrestrfa Tir",'Prisiau Tai (Cymru)'!F76,'Prisiau Tai (Cymru)'!X76)</f>
        <v>262167.23598947312</v>
      </c>
      <c r="AF76" s="4">
        <f>IF('Rhaniad y Ddeiliadaeth (Cymru)'!$D$18="Data Cofrestrfa Tir",'Prisiau Tai (Cymru)'!G76,'Prisiau Tai (Cymru)'!Y76)</f>
        <v>272391.5402065278</v>
      </c>
      <c r="AG76" s="4">
        <f>IF('Rhaniad y Ddeiliadaeth (Cymru)'!$D$18="Data Cofrestrfa Tir",'Prisiau Tai (Cymru)'!H76,'Prisiau Tai (Cymru)'!Z76)</f>
        <v>283690.3205659485</v>
      </c>
    </row>
    <row r="77" spans="2:33" x14ac:dyDescent="0.25">
      <c r="B77" s="20">
        <v>83</v>
      </c>
      <c r="C77" s="56">
        <v>252007.49999999936</v>
      </c>
      <c r="D77" s="57">
        <f>C77*(1+'Rhaniad y Ddeiliadaeth (Cymru)'!C$118)</f>
        <v>259165.92053574885</v>
      </c>
      <c r="E77" s="57">
        <f>D77*(1+'Rhaniad y Ddeiliadaeth (Cymru)'!D$118)</f>
        <v>259742.96764511411</v>
      </c>
      <c r="F77" s="57">
        <f>E77*(1+'Rhaniad y Ddeiliadaeth (Cymru)'!E$118)</f>
        <v>265333.77399042965</v>
      </c>
      <c r="G77" s="57">
        <f>F77*(1+'Rhaniad y Ddeiliadaeth (Cymru)'!F$118)</f>
        <v>275681.57055661199</v>
      </c>
      <c r="H77" s="58">
        <f>G77*(1+'Rhaniad y Ddeiliadaeth (Cymru)'!G$118)</f>
        <v>287116.8211245907</v>
      </c>
      <c r="L77" s="62" t="str">
        <f t="shared" si="4"/>
        <v/>
      </c>
      <c r="M77" s="239"/>
      <c r="N77" s="14">
        <f t="shared" si="7"/>
        <v>1</v>
      </c>
      <c r="T77" s="1">
        <f t="shared" si="5"/>
        <v>83</v>
      </c>
      <c r="U77" s="4" t="str">
        <f t="shared" si="6"/>
        <v/>
      </c>
      <c r="V77" s="4" t="e">
        <f>IF($V$3=$M$3,M77,U77*(1+'Rhaniad y Ddeiliadaeth (Cymru)'!C$118))</f>
        <v>#VALUE!</v>
      </c>
      <c r="W77" s="4" t="e">
        <f>V77*(1+'Rhaniad y Ddeiliadaeth (Cymru)'!D$118)</f>
        <v>#VALUE!</v>
      </c>
      <c r="X77" s="4" t="e">
        <f>W77*(1+'Rhaniad y Ddeiliadaeth (Cymru)'!E$118)</f>
        <v>#VALUE!</v>
      </c>
      <c r="Y77" s="4" t="e">
        <f>X77*(1+'Rhaniad y Ddeiliadaeth (Cymru)'!F$118)</f>
        <v>#VALUE!</v>
      </c>
      <c r="Z77" s="4" t="e">
        <f>Y77*(1+'Rhaniad y Ddeiliadaeth (Cymru)'!G$118)</f>
        <v>#VALUE!</v>
      </c>
      <c r="AB77" s="1">
        <v>83</v>
      </c>
      <c r="AC77" s="4">
        <f>IF('Rhaniad y Ddeiliadaeth (Cymru)'!$D$18="Data Cofrestrfa Tir",'Prisiau Tai (Cymru)'!D77,'Prisiau Tai (Cymru)'!V77)</f>
        <v>259165.92053574885</v>
      </c>
      <c r="AD77" s="4">
        <f>IF('Rhaniad y Ddeiliadaeth (Cymru)'!$D$18="Data Cofrestrfa Tir",'Prisiau Tai (Cymru)'!E77,'Prisiau Tai (Cymru)'!W77)</f>
        <v>259742.96764511411</v>
      </c>
      <c r="AE77" s="4">
        <f>IF('Rhaniad y Ddeiliadaeth (Cymru)'!$D$18="Data Cofrestrfa Tir",'Prisiau Tai (Cymru)'!F77,'Prisiau Tai (Cymru)'!X77)</f>
        <v>265333.77399042965</v>
      </c>
      <c r="AF77" s="4">
        <f>IF('Rhaniad y Ddeiliadaeth (Cymru)'!$D$18="Data Cofrestrfa Tir",'Prisiau Tai (Cymru)'!G77,'Prisiau Tai (Cymru)'!Y77)</f>
        <v>275681.57055661199</v>
      </c>
      <c r="AG77" s="4">
        <f>IF('Rhaniad y Ddeiliadaeth (Cymru)'!$D$18="Data Cofrestrfa Tir",'Prisiau Tai (Cymru)'!H77,'Prisiau Tai (Cymru)'!Z77)</f>
        <v>287116.8211245907</v>
      </c>
    </row>
    <row r="78" spans="2:33" x14ac:dyDescent="0.25">
      <c r="B78" s="20">
        <v>84</v>
      </c>
      <c r="C78" s="56">
        <v>259950</v>
      </c>
      <c r="D78" s="57">
        <f>C78*(1+'Rhaniad y Ddeiliadaeth (Cymru)'!C$118)</f>
        <v>267334.03189693991</v>
      </c>
      <c r="E78" s="57">
        <f>D78*(1+'Rhaniad y Ddeiliadaeth (Cymru)'!D$118)</f>
        <v>267929.26575339062</v>
      </c>
      <c r="F78" s="57">
        <f>E78*(1+'Rhaniad y Ddeiliadaeth (Cymru)'!E$118)</f>
        <v>273696.27709021501</v>
      </c>
      <c r="G78" s="57">
        <f>F78*(1+'Rhaniad y Ddeiliadaeth (Cymru)'!F$118)</f>
        <v>284370.20432404376</v>
      </c>
      <c r="H78" s="58">
        <f>G78*(1+'Rhaniad y Ddeiliadaeth (Cymru)'!G$118)</f>
        <v>296165.85875951126</v>
      </c>
      <c r="L78" s="62" t="str">
        <f t="shared" si="4"/>
        <v/>
      </c>
      <c r="M78" s="239"/>
      <c r="N78" s="14">
        <f t="shared" si="7"/>
        <v>1</v>
      </c>
      <c r="T78" s="1">
        <f t="shared" si="5"/>
        <v>84</v>
      </c>
      <c r="U78" s="4" t="str">
        <f t="shared" si="6"/>
        <v/>
      </c>
      <c r="V78" s="4" t="e">
        <f>IF($V$3=$M$3,M78,U78*(1+'Rhaniad y Ddeiliadaeth (Cymru)'!C$118))</f>
        <v>#VALUE!</v>
      </c>
      <c r="W78" s="4" t="e">
        <f>V78*(1+'Rhaniad y Ddeiliadaeth (Cymru)'!D$118)</f>
        <v>#VALUE!</v>
      </c>
      <c r="X78" s="4" t="e">
        <f>W78*(1+'Rhaniad y Ddeiliadaeth (Cymru)'!E$118)</f>
        <v>#VALUE!</v>
      </c>
      <c r="Y78" s="4" t="e">
        <f>X78*(1+'Rhaniad y Ddeiliadaeth (Cymru)'!F$118)</f>
        <v>#VALUE!</v>
      </c>
      <c r="Z78" s="4" t="e">
        <f>Y78*(1+'Rhaniad y Ddeiliadaeth (Cymru)'!G$118)</f>
        <v>#VALUE!</v>
      </c>
      <c r="AB78" s="1">
        <v>84</v>
      </c>
      <c r="AC78" s="4">
        <f>IF('Rhaniad y Ddeiliadaeth (Cymru)'!$D$18="Data Cofrestrfa Tir",'Prisiau Tai (Cymru)'!D78,'Prisiau Tai (Cymru)'!V78)</f>
        <v>267334.03189693991</v>
      </c>
      <c r="AD78" s="4">
        <f>IF('Rhaniad y Ddeiliadaeth (Cymru)'!$D$18="Data Cofrestrfa Tir",'Prisiau Tai (Cymru)'!E78,'Prisiau Tai (Cymru)'!W78)</f>
        <v>267929.26575339062</v>
      </c>
      <c r="AE78" s="4">
        <f>IF('Rhaniad y Ddeiliadaeth (Cymru)'!$D$18="Data Cofrestrfa Tir",'Prisiau Tai (Cymru)'!F78,'Prisiau Tai (Cymru)'!X78)</f>
        <v>273696.27709021501</v>
      </c>
      <c r="AF78" s="4">
        <f>IF('Rhaniad y Ddeiliadaeth (Cymru)'!$D$18="Data Cofrestrfa Tir",'Prisiau Tai (Cymru)'!G78,'Prisiau Tai (Cymru)'!Y78)</f>
        <v>284370.20432404376</v>
      </c>
      <c r="AG78" s="4">
        <f>IF('Rhaniad y Ddeiliadaeth (Cymru)'!$D$18="Data Cofrestrfa Tir",'Prisiau Tai (Cymru)'!H78,'Prisiau Tai (Cymru)'!Z78)</f>
        <v>296165.85875951126</v>
      </c>
    </row>
    <row r="79" spans="2:33" x14ac:dyDescent="0.25">
      <c r="B79" s="20">
        <v>85</v>
      </c>
      <c r="C79" s="56">
        <v>265000</v>
      </c>
      <c r="D79" s="57">
        <f>C79*(1+'Rhaniad y Ddeiliadaeth (Cymru)'!C$118)</f>
        <v>272527.48010267003</v>
      </c>
      <c r="E79" s="57">
        <f>D79*(1+'Rhaniad y Ddeiliadaeth (Cymru)'!D$118)</f>
        <v>273134.27745585114</v>
      </c>
      <c r="F79" s="57">
        <f>E79*(1+'Rhaniad y Ddeiliadaeth (Cymru)'!E$118)</f>
        <v>279013.32344261196</v>
      </c>
      <c r="G79" s="57">
        <f>F79*(1+'Rhaniad y Ddeiliadaeth (Cymru)'!F$118)</f>
        <v>289894.61106317217</v>
      </c>
      <c r="H79" s="58">
        <f>G79*(1+'Rhaniad y Ddeiliadaeth (Cymru)'!G$118)</f>
        <v>301919.4174697845</v>
      </c>
      <c r="L79" s="62" t="str">
        <f t="shared" si="4"/>
        <v/>
      </c>
      <c r="M79" s="239"/>
      <c r="N79" s="14">
        <f t="shared" si="7"/>
        <v>1</v>
      </c>
      <c r="T79" s="1">
        <f t="shared" si="5"/>
        <v>85</v>
      </c>
      <c r="U79" s="4" t="str">
        <f t="shared" si="6"/>
        <v/>
      </c>
      <c r="V79" s="4" t="e">
        <f>IF($V$3=$M$3,M79,U79*(1+'Rhaniad y Ddeiliadaeth (Cymru)'!C$118))</f>
        <v>#VALUE!</v>
      </c>
      <c r="W79" s="4" t="e">
        <f>V79*(1+'Rhaniad y Ddeiliadaeth (Cymru)'!D$118)</f>
        <v>#VALUE!</v>
      </c>
      <c r="X79" s="4" t="e">
        <f>W79*(1+'Rhaniad y Ddeiliadaeth (Cymru)'!E$118)</f>
        <v>#VALUE!</v>
      </c>
      <c r="Y79" s="4" t="e">
        <f>X79*(1+'Rhaniad y Ddeiliadaeth (Cymru)'!F$118)</f>
        <v>#VALUE!</v>
      </c>
      <c r="Z79" s="4" t="e">
        <f>Y79*(1+'Rhaniad y Ddeiliadaeth (Cymru)'!G$118)</f>
        <v>#VALUE!</v>
      </c>
      <c r="AB79" s="1">
        <v>85</v>
      </c>
      <c r="AC79" s="4">
        <f>IF('Rhaniad y Ddeiliadaeth (Cymru)'!$D$18="Data Cofrestrfa Tir",'Prisiau Tai (Cymru)'!D79,'Prisiau Tai (Cymru)'!V79)</f>
        <v>272527.48010267003</v>
      </c>
      <c r="AD79" s="4">
        <f>IF('Rhaniad y Ddeiliadaeth (Cymru)'!$D$18="Data Cofrestrfa Tir",'Prisiau Tai (Cymru)'!E79,'Prisiau Tai (Cymru)'!W79)</f>
        <v>273134.27745585114</v>
      </c>
      <c r="AE79" s="4">
        <f>IF('Rhaniad y Ddeiliadaeth (Cymru)'!$D$18="Data Cofrestrfa Tir",'Prisiau Tai (Cymru)'!F79,'Prisiau Tai (Cymru)'!X79)</f>
        <v>279013.32344261196</v>
      </c>
      <c r="AF79" s="4">
        <f>IF('Rhaniad y Ddeiliadaeth (Cymru)'!$D$18="Data Cofrestrfa Tir",'Prisiau Tai (Cymru)'!G79,'Prisiau Tai (Cymru)'!Y79)</f>
        <v>289894.61106317217</v>
      </c>
      <c r="AG79" s="4">
        <f>IF('Rhaniad y Ddeiliadaeth (Cymru)'!$D$18="Data Cofrestrfa Tir",'Prisiau Tai (Cymru)'!H79,'Prisiau Tai (Cymru)'!Z79)</f>
        <v>301919.4174697845</v>
      </c>
    </row>
    <row r="80" spans="2:33" x14ac:dyDescent="0.25">
      <c r="B80" s="20">
        <v>86</v>
      </c>
      <c r="C80" s="56">
        <v>270000</v>
      </c>
      <c r="D80" s="57">
        <f>C80*(1+'Rhaniad y Ddeiliadaeth (Cymru)'!C$118)</f>
        <v>277669.50802913553</v>
      </c>
      <c r="E80" s="57">
        <f>D80*(1+'Rhaniad y Ddeiliadaeth (Cymru)'!D$118)</f>
        <v>278287.75438898045</v>
      </c>
      <c r="F80" s="57">
        <f>E80*(1+'Rhaniad y Ddeiliadaeth (Cymru)'!E$118)</f>
        <v>284277.72577171784</v>
      </c>
      <c r="G80" s="57">
        <f>F80*(1+'Rhaniad y Ddeiliadaeth (Cymru)'!F$118)</f>
        <v>295364.32070587348</v>
      </c>
      <c r="H80" s="58">
        <f>G80*(1+'Rhaniad y Ddeiliadaeth (Cymru)'!G$118)</f>
        <v>307616.01025223325</v>
      </c>
      <c r="L80" s="62" t="str">
        <f t="shared" si="4"/>
        <v/>
      </c>
      <c r="M80" s="239"/>
      <c r="N80" s="14">
        <f t="shared" si="7"/>
        <v>1</v>
      </c>
      <c r="T80" s="1">
        <f t="shared" si="5"/>
        <v>86</v>
      </c>
      <c r="U80" s="4" t="str">
        <f t="shared" si="6"/>
        <v/>
      </c>
      <c r="V80" s="4" t="e">
        <f>IF($V$3=$M$3,M80,U80*(1+'Rhaniad y Ddeiliadaeth (Cymru)'!C$118))</f>
        <v>#VALUE!</v>
      </c>
      <c r="W80" s="4" t="e">
        <f>V80*(1+'Rhaniad y Ddeiliadaeth (Cymru)'!D$118)</f>
        <v>#VALUE!</v>
      </c>
      <c r="X80" s="4" t="e">
        <f>W80*(1+'Rhaniad y Ddeiliadaeth (Cymru)'!E$118)</f>
        <v>#VALUE!</v>
      </c>
      <c r="Y80" s="4" t="e">
        <f>X80*(1+'Rhaniad y Ddeiliadaeth (Cymru)'!F$118)</f>
        <v>#VALUE!</v>
      </c>
      <c r="Z80" s="4" t="e">
        <f>Y80*(1+'Rhaniad y Ddeiliadaeth (Cymru)'!G$118)</f>
        <v>#VALUE!</v>
      </c>
      <c r="AB80" s="1">
        <v>86</v>
      </c>
      <c r="AC80" s="4">
        <f>IF('Rhaniad y Ddeiliadaeth (Cymru)'!$D$18="Data Cofrestrfa Tir",'Prisiau Tai (Cymru)'!D80,'Prisiau Tai (Cymru)'!V80)</f>
        <v>277669.50802913553</v>
      </c>
      <c r="AD80" s="4">
        <f>IF('Rhaniad y Ddeiliadaeth (Cymru)'!$D$18="Data Cofrestrfa Tir",'Prisiau Tai (Cymru)'!E80,'Prisiau Tai (Cymru)'!W80)</f>
        <v>278287.75438898045</v>
      </c>
      <c r="AE80" s="4">
        <f>IF('Rhaniad y Ddeiliadaeth (Cymru)'!$D$18="Data Cofrestrfa Tir",'Prisiau Tai (Cymru)'!F80,'Prisiau Tai (Cymru)'!X80)</f>
        <v>284277.72577171784</v>
      </c>
      <c r="AF80" s="4">
        <f>IF('Rhaniad y Ddeiliadaeth (Cymru)'!$D$18="Data Cofrestrfa Tir",'Prisiau Tai (Cymru)'!G80,'Prisiau Tai (Cymru)'!Y80)</f>
        <v>295364.32070587348</v>
      </c>
      <c r="AG80" s="4">
        <f>IF('Rhaniad y Ddeiliadaeth (Cymru)'!$D$18="Data Cofrestrfa Tir",'Prisiau Tai (Cymru)'!H80,'Prisiau Tai (Cymru)'!Z80)</f>
        <v>307616.01025223325</v>
      </c>
    </row>
    <row r="81" spans="2:33" x14ac:dyDescent="0.25">
      <c r="B81" s="20">
        <v>87</v>
      </c>
      <c r="C81" s="56">
        <v>279500</v>
      </c>
      <c r="D81" s="57">
        <f>C81*(1+'Rhaniad y Ddeiliadaeth (Cymru)'!C$118)</f>
        <v>287439.36108941992</v>
      </c>
      <c r="E81" s="57">
        <f>D81*(1+'Rhaniad y Ddeiliadaeth (Cymru)'!D$118)</f>
        <v>288079.36056192603</v>
      </c>
      <c r="F81" s="57">
        <f>E81*(1+'Rhaniad y Ddeiliadaeth (Cymru)'!E$118)</f>
        <v>294280.09019701905</v>
      </c>
      <c r="G81" s="57">
        <f>F81*(1+'Rhaniad y Ddeiliadaeth (Cymru)'!F$118)</f>
        <v>305756.76902700611</v>
      </c>
      <c r="H81" s="58">
        <f>G81*(1+'Rhaniad y Ddeiliadaeth (Cymru)'!G$118)</f>
        <v>318439.53653888596</v>
      </c>
      <c r="L81" s="62" t="str">
        <f t="shared" si="4"/>
        <v/>
      </c>
      <c r="M81" s="239"/>
      <c r="N81" s="14">
        <f t="shared" si="7"/>
        <v>1</v>
      </c>
      <c r="T81" s="1">
        <f t="shared" si="5"/>
        <v>87</v>
      </c>
      <c r="U81" s="4" t="str">
        <f t="shared" si="6"/>
        <v/>
      </c>
      <c r="V81" s="4" t="e">
        <f>IF($V$3=$M$3,M81,U81*(1+'Rhaniad y Ddeiliadaeth (Cymru)'!C$118))</f>
        <v>#VALUE!</v>
      </c>
      <c r="W81" s="4" t="e">
        <f>V81*(1+'Rhaniad y Ddeiliadaeth (Cymru)'!D$118)</f>
        <v>#VALUE!</v>
      </c>
      <c r="X81" s="4" t="e">
        <f>W81*(1+'Rhaniad y Ddeiliadaeth (Cymru)'!E$118)</f>
        <v>#VALUE!</v>
      </c>
      <c r="Y81" s="4" t="e">
        <f>X81*(1+'Rhaniad y Ddeiliadaeth (Cymru)'!F$118)</f>
        <v>#VALUE!</v>
      </c>
      <c r="Z81" s="4" t="e">
        <f>Y81*(1+'Rhaniad y Ddeiliadaeth (Cymru)'!G$118)</f>
        <v>#VALUE!</v>
      </c>
      <c r="AB81" s="1">
        <v>87</v>
      </c>
      <c r="AC81" s="4">
        <f>IF('Rhaniad y Ddeiliadaeth (Cymru)'!$D$18="Data Cofrestrfa Tir",'Prisiau Tai (Cymru)'!D81,'Prisiau Tai (Cymru)'!V81)</f>
        <v>287439.36108941992</v>
      </c>
      <c r="AD81" s="4">
        <f>IF('Rhaniad y Ddeiliadaeth (Cymru)'!$D$18="Data Cofrestrfa Tir",'Prisiau Tai (Cymru)'!E81,'Prisiau Tai (Cymru)'!W81)</f>
        <v>288079.36056192603</v>
      </c>
      <c r="AE81" s="4">
        <f>IF('Rhaniad y Ddeiliadaeth (Cymru)'!$D$18="Data Cofrestrfa Tir",'Prisiau Tai (Cymru)'!F81,'Prisiau Tai (Cymru)'!X81)</f>
        <v>294280.09019701905</v>
      </c>
      <c r="AF81" s="4">
        <f>IF('Rhaniad y Ddeiliadaeth (Cymru)'!$D$18="Data Cofrestrfa Tir",'Prisiau Tai (Cymru)'!G81,'Prisiau Tai (Cymru)'!Y81)</f>
        <v>305756.76902700611</v>
      </c>
      <c r="AG81" s="4">
        <f>IF('Rhaniad y Ddeiliadaeth (Cymru)'!$D$18="Data Cofrestrfa Tir",'Prisiau Tai (Cymru)'!H81,'Prisiau Tai (Cymru)'!Z81)</f>
        <v>318439.53653888596</v>
      </c>
    </row>
    <row r="82" spans="2:33" x14ac:dyDescent="0.25">
      <c r="B82" s="20">
        <v>88</v>
      </c>
      <c r="C82" s="56">
        <v>285000</v>
      </c>
      <c r="D82" s="57">
        <f>C82*(1+'Rhaniad y Ddeiliadaeth (Cymru)'!C$118)</f>
        <v>293095.5918085319</v>
      </c>
      <c r="E82" s="57">
        <f>D82*(1+'Rhaniad y Ddeiliadaeth (Cymru)'!D$118)</f>
        <v>293748.1851883682</v>
      </c>
      <c r="F82" s="57">
        <f>E82*(1+'Rhaniad y Ddeiliadaeth (Cymru)'!E$118)</f>
        <v>300070.93275903544</v>
      </c>
      <c r="G82" s="57">
        <f>F82*(1+'Rhaniad y Ddeiliadaeth (Cymru)'!F$118)</f>
        <v>311773.44963397755</v>
      </c>
      <c r="H82" s="58">
        <f>G82*(1+'Rhaniad y Ddeiliadaeth (Cymru)'!G$118)</f>
        <v>324705.78859957954</v>
      </c>
      <c r="L82" s="62" t="str">
        <f t="shared" si="4"/>
        <v/>
      </c>
      <c r="M82" s="239"/>
      <c r="N82" s="14">
        <f t="shared" si="7"/>
        <v>1</v>
      </c>
      <c r="T82" s="1">
        <f t="shared" si="5"/>
        <v>88</v>
      </c>
      <c r="U82" s="4" t="str">
        <f t="shared" si="6"/>
        <v/>
      </c>
      <c r="V82" s="4" t="e">
        <f>IF($V$3=$M$3,M82,U82*(1+'Rhaniad y Ddeiliadaeth (Cymru)'!C$118))</f>
        <v>#VALUE!</v>
      </c>
      <c r="W82" s="4" t="e">
        <f>V82*(1+'Rhaniad y Ddeiliadaeth (Cymru)'!D$118)</f>
        <v>#VALUE!</v>
      </c>
      <c r="X82" s="4" t="e">
        <f>W82*(1+'Rhaniad y Ddeiliadaeth (Cymru)'!E$118)</f>
        <v>#VALUE!</v>
      </c>
      <c r="Y82" s="4" t="e">
        <f>X82*(1+'Rhaniad y Ddeiliadaeth (Cymru)'!F$118)</f>
        <v>#VALUE!</v>
      </c>
      <c r="Z82" s="4" t="e">
        <f>Y82*(1+'Rhaniad y Ddeiliadaeth (Cymru)'!G$118)</f>
        <v>#VALUE!</v>
      </c>
      <c r="AB82" s="1">
        <v>88</v>
      </c>
      <c r="AC82" s="4">
        <f>IF('Rhaniad y Ddeiliadaeth (Cymru)'!$D$18="Data Cofrestrfa Tir",'Prisiau Tai (Cymru)'!D82,'Prisiau Tai (Cymru)'!V82)</f>
        <v>293095.5918085319</v>
      </c>
      <c r="AD82" s="4">
        <f>IF('Rhaniad y Ddeiliadaeth (Cymru)'!$D$18="Data Cofrestrfa Tir",'Prisiau Tai (Cymru)'!E82,'Prisiau Tai (Cymru)'!W82)</f>
        <v>293748.1851883682</v>
      </c>
      <c r="AE82" s="4">
        <f>IF('Rhaniad y Ddeiliadaeth (Cymru)'!$D$18="Data Cofrestrfa Tir",'Prisiau Tai (Cymru)'!F82,'Prisiau Tai (Cymru)'!X82)</f>
        <v>300070.93275903544</v>
      </c>
      <c r="AF82" s="4">
        <f>IF('Rhaniad y Ddeiliadaeth (Cymru)'!$D$18="Data Cofrestrfa Tir",'Prisiau Tai (Cymru)'!G82,'Prisiau Tai (Cymru)'!Y82)</f>
        <v>311773.44963397755</v>
      </c>
      <c r="AG82" s="4">
        <f>IF('Rhaniad y Ddeiliadaeth (Cymru)'!$D$18="Data Cofrestrfa Tir",'Prisiau Tai (Cymru)'!H82,'Prisiau Tai (Cymru)'!Z82)</f>
        <v>324705.78859957954</v>
      </c>
    </row>
    <row r="83" spans="2:33" x14ac:dyDescent="0.25">
      <c r="B83" s="20">
        <v>89</v>
      </c>
      <c r="C83" s="56">
        <v>292500</v>
      </c>
      <c r="D83" s="57">
        <f>C83*(1+'Rhaniad y Ddeiliadaeth (Cymru)'!C$118)</f>
        <v>300808.63369823014</v>
      </c>
      <c r="E83" s="57">
        <f>D83*(1+'Rhaniad y Ddeiliadaeth (Cymru)'!D$118)</f>
        <v>301478.40058806213</v>
      </c>
      <c r="F83" s="57">
        <f>E83*(1+'Rhaniad y Ddeiliadaeth (Cymru)'!E$118)</f>
        <v>307967.53625269432</v>
      </c>
      <c r="G83" s="57">
        <f>F83*(1+'Rhaniad y Ddeiliadaeth (Cymru)'!F$118)</f>
        <v>319978.01409802964</v>
      </c>
      <c r="H83" s="58">
        <f>G83*(1+'Rhaniad y Ddeiliadaeth (Cymru)'!G$118)</f>
        <v>333250.67777325271</v>
      </c>
      <c r="L83" s="62" t="str">
        <f t="shared" si="4"/>
        <v/>
      </c>
      <c r="M83" s="239"/>
      <c r="N83" s="14">
        <f t="shared" si="7"/>
        <v>1</v>
      </c>
      <c r="T83" s="1">
        <f t="shared" si="5"/>
        <v>89</v>
      </c>
      <c r="U83" s="4" t="str">
        <f t="shared" si="6"/>
        <v/>
      </c>
      <c r="V83" s="4" t="e">
        <f>IF($V$3=$M$3,M83,U83*(1+'Rhaniad y Ddeiliadaeth (Cymru)'!C$118))</f>
        <v>#VALUE!</v>
      </c>
      <c r="W83" s="4" t="e">
        <f>V83*(1+'Rhaniad y Ddeiliadaeth (Cymru)'!D$118)</f>
        <v>#VALUE!</v>
      </c>
      <c r="X83" s="4" t="e">
        <f>W83*(1+'Rhaniad y Ddeiliadaeth (Cymru)'!E$118)</f>
        <v>#VALUE!</v>
      </c>
      <c r="Y83" s="4" t="e">
        <f>X83*(1+'Rhaniad y Ddeiliadaeth (Cymru)'!F$118)</f>
        <v>#VALUE!</v>
      </c>
      <c r="Z83" s="4" t="e">
        <f>Y83*(1+'Rhaniad y Ddeiliadaeth (Cymru)'!G$118)</f>
        <v>#VALUE!</v>
      </c>
      <c r="AB83" s="1">
        <v>89</v>
      </c>
      <c r="AC83" s="4">
        <f>IF('Rhaniad y Ddeiliadaeth (Cymru)'!$D$18="Data Cofrestrfa Tir",'Prisiau Tai (Cymru)'!D83,'Prisiau Tai (Cymru)'!V83)</f>
        <v>300808.63369823014</v>
      </c>
      <c r="AD83" s="4">
        <f>IF('Rhaniad y Ddeiliadaeth (Cymru)'!$D$18="Data Cofrestrfa Tir",'Prisiau Tai (Cymru)'!E83,'Prisiau Tai (Cymru)'!W83)</f>
        <v>301478.40058806213</v>
      </c>
      <c r="AE83" s="4">
        <f>IF('Rhaniad y Ddeiliadaeth (Cymru)'!$D$18="Data Cofrestrfa Tir",'Prisiau Tai (Cymru)'!F83,'Prisiau Tai (Cymru)'!X83)</f>
        <v>307967.53625269432</v>
      </c>
      <c r="AF83" s="4">
        <f>IF('Rhaniad y Ddeiliadaeth (Cymru)'!$D$18="Data Cofrestrfa Tir",'Prisiau Tai (Cymru)'!G83,'Prisiau Tai (Cymru)'!Y83)</f>
        <v>319978.01409802964</v>
      </c>
      <c r="AG83" s="4">
        <f>IF('Rhaniad y Ddeiliadaeth (Cymru)'!$D$18="Data Cofrestrfa Tir",'Prisiau Tai (Cymru)'!H83,'Prisiau Tai (Cymru)'!Z83)</f>
        <v>333250.67777325271</v>
      </c>
    </row>
    <row r="84" spans="2:33" x14ac:dyDescent="0.25">
      <c r="B84" s="23">
        <v>90</v>
      </c>
      <c r="C84" s="59">
        <v>300000</v>
      </c>
      <c r="D84" s="60">
        <f>C84*(1+'Rhaniad y Ddeiliadaeth (Cymru)'!C$118)</f>
        <v>308521.67558792833</v>
      </c>
      <c r="E84" s="60">
        <f>D84*(1+'Rhaniad y Ddeiliadaeth (Cymru)'!D$118)</f>
        <v>309208.615987756</v>
      </c>
      <c r="F84" s="60">
        <f>E84*(1+'Rhaniad y Ddeiliadaeth (Cymru)'!E$118)</f>
        <v>315864.13974635315</v>
      </c>
      <c r="G84" s="60">
        <f>F84*(1+'Rhaniad y Ddeiliadaeth (Cymru)'!F$118)</f>
        <v>328182.57856208168</v>
      </c>
      <c r="H84" s="61">
        <f>G84*(1+'Rhaniad y Ddeiliadaeth (Cymru)'!G$118)</f>
        <v>341795.56694692583</v>
      </c>
      <c r="L84" s="63" t="str">
        <f t="shared" si="4"/>
        <v/>
      </c>
      <c r="M84" s="240"/>
      <c r="N84" s="14">
        <f t="shared" si="7"/>
        <v>1</v>
      </c>
      <c r="T84" s="1">
        <f t="shared" si="5"/>
        <v>90</v>
      </c>
      <c r="U84" s="4" t="str">
        <f t="shared" si="6"/>
        <v/>
      </c>
      <c r="V84" s="4" t="e">
        <f>IF($V$3=$M$3,M84,U84*(1+'Rhaniad y Ddeiliadaeth (Cymru)'!C$118))</f>
        <v>#VALUE!</v>
      </c>
      <c r="W84" s="4" t="e">
        <f>V84*(1+'Rhaniad y Ddeiliadaeth (Cymru)'!D$118)</f>
        <v>#VALUE!</v>
      </c>
      <c r="X84" s="4" t="e">
        <f>W84*(1+'Rhaniad y Ddeiliadaeth (Cymru)'!E$118)</f>
        <v>#VALUE!</v>
      </c>
      <c r="Y84" s="4" t="e">
        <f>X84*(1+'Rhaniad y Ddeiliadaeth (Cymru)'!F$118)</f>
        <v>#VALUE!</v>
      </c>
      <c r="Z84" s="4" t="e">
        <f>Y84*(1+'Rhaniad y Ddeiliadaeth (Cymru)'!G$118)</f>
        <v>#VALUE!</v>
      </c>
      <c r="AB84" s="1">
        <v>90</v>
      </c>
      <c r="AC84" s="4">
        <f>IF('Rhaniad y Ddeiliadaeth (Cymru)'!$D$18="Data Cofrestrfa Tir",'Prisiau Tai (Cymru)'!D84,'Prisiau Tai (Cymru)'!V84)</f>
        <v>308521.67558792833</v>
      </c>
      <c r="AD84" s="4">
        <f>IF('Rhaniad y Ddeiliadaeth (Cymru)'!$D$18="Data Cofrestrfa Tir",'Prisiau Tai (Cymru)'!E84,'Prisiau Tai (Cymru)'!W84)</f>
        <v>309208.615987756</v>
      </c>
      <c r="AE84" s="4">
        <f>IF('Rhaniad y Ddeiliadaeth (Cymru)'!$D$18="Data Cofrestrfa Tir",'Prisiau Tai (Cymru)'!F84,'Prisiau Tai (Cymru)'!X84)</f>
        <v>315864.13974635315</v>
      </c>
      <c r="AF84" s="4">
        <f>IF('Rhaniad y Ddeiliadaeth (Cymru)'!$D$18="Data Cofrestrfa Tir",'Prisiau Tai (Cymru)'!G84,'Prisiau Tai (Cymru)'!Y84)</f>
        <v>328182.57856208168</v>
      </c>
      <c r="AG84" s="4">
        <f>IF('Rhaniad y Ddeiliadaeth (Cymru)'!$D$18="Data Cofrestrfa Tir",'Prisiau Tai (Cymru)'!H84,'Prisiau Tai (Cymru)'!Z84)</f>
        <v>341795.56694692583</v>
      </c>
    </row>
    <row r="85" spans="2:33" x14ac:dyDescent="0.25">
      <c r="N85" s="14">
        <f>IF(SUM(N4:N84)&gt;0,1,0)</f>
        <v>1</v>
      </c>
    </row>
  </sheetData>
  <sheetProtection sheet="1" objects="1" scenarios="1"/>
  <mergeCells count="3">
    <mergeCell ref="B2:H2"/>
    <mergeCell ref="J2:M2"/>
    <mergeCell ref="J9:J10"/>
  </mergeCells>
  <dataValidations count="2">
    <dataValidation type="list" allowBlank="1" showInputMessage="1" showErrorMessage="1" sqref="K4">
      <formula1>"2017,2018"</formula1>
    </dataValidation>
    <dataValidation type="decimal" operator="greaterThan" allowBlank="1" showInputMessage="1" showErrorMessage="1" sqref="M4:M84">
      <formula1>0</formula1>
    </dataValidation>
  </dataValidations>
  <pageMargins left="0.7" right="0.7" top="0.75" bottom="0.75" header="0.3" footer="0.3"/>
  <pageSetup paperSize="9" scale="44" orientation="portrait" horizontalDpi="300" verticalDpi="300"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AI85"/>
  <sheetViews>
    <sheetView showGridLines="0" workbookViewId="0"/>
  </sheetViews>
  <sheetFormatPr defaultColWidth="9.140625" defaultRowHeight="15" x14ac:dyDescent="0.25"/>
  <cols>
    <col min="1" max="1" width="2.140625" style="1" customWidth="1"/>
    <col min="2" max="2" width="10.140625" style="1" bestFit="1" customWidth="1"/>
    <col min="3" max="3" width="9.140625" style="1"/>
    <col min="4" max="8" width="10.140625" style="1" bestFit="1" customWidth="1"/>
    <col min="9" max="9" width="9.140625" style="1"/>
    <col min="10" max="10" width="67.85546875" style="1" customWidth="1"/>
    <col min="11" max="11" width="9.140625" style="1"/>
    <col min="12" max="12" width="10.140625" style="1" customWidth="1"/>
    <col min="13" max="13" width="10.85546875" style="1" customWidth="1"/>
    <col min="14" max="14" width="9.140625" style="1" hidden="1" customWidth="1"/>
    <col min="15" max="19" width="9.140625" style="1"/>
    <col min="20" max="20" width="9.140625" style="1" hidden="1" customWidth="1"/>
    <col min="21" max="26" width="10.140625" style="1" hidden="1" customWidth="1"/>
    <col min="27" max="28" width="9.140625" style="1" customWidth="1"/>
    <col min="29" max="29" width="10.140625" style="1" customWidth="1"/>
    <col min="30" max="34" width="9.140625" style="1" customWidth="1"/>
    <col min="35" max="16384" width="9.140625" style="1"/>
  </cols>
  <sheetData>
    <row r="1" spans="2:35" ht="9.75" customHeight="1" x14ac:dyDescent="0.25"/>
    <row r="2" spans="2:35" ht="26.25" customHeight="1" x14ac:dyDescent="0.25">
      <c r="B2" s="414" t="s">
        <v>319</v>
      </c>
      <c r="C2" s="415"/>
      <c r="D2" s="415"/>
      <c r="E2" s="415"/>
      <c r="F2" s="415"/>
      <c r="G2" s="415"/>
      <c r="H2" s="416"/>
      <c r="J2" s="417" t="s">
        <v>145</v>
      </c>
      <c r="K2" s="418"/>
      <c r="L2" s="418"/>
      <c r="M2" s="419"/>
      <c r="N2" s="65"/>
      <c r="U2" s="1" t="s">
        <v>295</v>
      </c>
      <c r="AB2" s="1" t="s">
        <v>296</v>
      </c>
    </row>
    <row r="3" spans="2:35" x14ac:dyDescent="0.25">
      <c r="B3" s="34" t="s">
        <v>144</v>
      </c>
      <c r="C3" s="35">
        <v>2017</v>
      </c>
      <c r="D3" s="35">
        <v>2018</v>
      </c>
      <c r="E3" s="35">
        <v>2019</v>
      </c>
      <c r="F3" s="35">
        <v>2020</v>
      </c>
      <c r="G3" s="35">
        <v>2021</v>
      </c>
      <c r="H3" s="55">
        <v>2022</v>
      </c>
      <c r="L3" s="34" t="s">
        <v>144</v>
      </c>
      <c r="M3" s="64">
        <f>K4</f>
        <v>0</v>
      </c>
      <c r="N3" s="66" t="s">
        <v>298</v>
      </c>
      <c r="U3" s="1">
        <v>2017</v>
      </c>
      <c r="V3" s="1">
        <v>2018</v>
      </c>
      <c r="W3" s="1">
        <v>2019</v>
      </c>
      <c r="X3" s="1">
        <v>2020</v>
      </c>
      <c r="Y3" s="1">
        <v>2021</v>
      </c>
      <c r="Z3" s="1">
        <v>2022</v>
      </c>
      <c r="AC3" s="1" t="s">
        <v>0</v>
      </c>
      <c r="AD3" s="1" t="s">
        <v>1</v>
      </c>
      <c r="AE3" s="1" t="s">
        <v>2</v>
      </c>
      <c r="AF3" s="1" t="s">
        <v>3</v>
      </c>
      <c r="AG3" s="1" t="s">
        <v>4</v>
      </c>
    </row>
    <row r="4" spans="2:35" x14ac:dyDescent="0.25">
      <c r="B4" s="20">
        <v>10</v>
      </c>
      <c r="C4" s="56">
        <v>87500</v>
      </c>
      <c r="D4" s="57">
        <f>C4*(1+'Rhaniad y Ddeiliadaeth (Gog)'!C$118)</f>
        <v>89985.488713145765</v>
      </c>
      <c r="E4" s="57">
        <f>D4*(1+'Rhaniad y Ddeiliadaeth (Gog)'!D$118)</f>
        <v>90185.846329762178</v>
      </c>
      <c r="F4" s="57">
        <f>E4*(1+'Rhaniad y Ddeiliadaeth (Gog)'!E$118)</f>
        <v>92127.040759353011</v>
      </c>
      <c r="G4" s="57">
        <f>F4*(1+'Rhaniad y Ddeiliadaeth (Gog)'!F$118)</f>
        <v>95719.918747273827</v>
      </c>
      <c r="H4" s="57">
        <f>G4*(1+'Rhaniad y Ddeiliadaeth (Gog)'!G$118)</f>
        <v>99690.373692853376</v>
      </c>
      <c r="I4" s="4"/>
      <c r="J4" s="67" t="str">
        <f>IF('Rhaniad y Ddeiliadaeth (Cymru)'!D18="Arall","Choose what year of data you would like to enter:","")</f>
        <v/>
      </c>
      <c r="K4" s="238"/>
      <c r="L4" s="62" t="str">
        <f t="shared" ref="L4:L67" si="0">IF(ISBLANK($K$4),"",B4)</f>
        <v/>
      </c>
      <c r="M4" s="239"/>
      <c r="N4" s="14">
        <f>IF(ISBLANK(M4),1,0)</f>
        <v>1</v>
      </c>
      <c r="O4" s="11" t="str">
        <f>IF(J4="","",IF(N85=1,"&lt;&lt; Ychwanegwch ddata pob canradd fan hyn",""))</f>
        <v/>
      </c>
      <c r="T4" s="1">
        <f t="shared" ref="T4:T67" si="1">B4</f>
        <v>10</v>
      </c>
      <c r="U4" s="4" t="str">
        <f t="shared" ref="U4:U67" si="2">IF($M$3=$U$3,M4,"")</f>
        <v/>
      </c>
      <c r="V4" s="4" t="e">
        <f>IF($V$3=$M$3,M4,U4*(1+'Rhaniad y Ddeiliadaeth (Cymru)'!C$118))</f>
        <v>#VALUE!</v>
      </c>
      <c r="W4" s="4" t="e">
        <f>V4*(1+'Rhaniad y Ddeiliadaeth (Cymru)'!D$118)</f>
        <v>#VALUE!</v>
      </c>
      <c r="X4" s="4" t="e">
        <f>W4*(1+'Rhaniad y Ddeiliadaeth (Cymru)'!E$118)</f>
        <v>#VALUE!</v>
      </c>
      <c r="Y4" s="4" t="e">
        <f>X4*(1+'Rhaniad y Ddeiliadaeth (Cymru)'!F$118)</f>
        <v>#VALUE!</v>
      </c>
      <c r="Z4" s="4" t="e">
        <f>Y4*(1+'Rhaniad y Ddeiliadaeth (Cymru)'!G$118)</f>
        <v>#VALUE!</v>
      </c>
      <c r="AB4" s="1">
        <v>10</v>
      </c>
      <c r="AC4" s="4">
        <f>IF('Rhaniad y Ddeiliadaeth (Cymru)'!$D$18="Data Cofrestrfa Tir",'Prisiau Tai (Gogledd)'!D4,'Prisiau Tai (Gogledd)'!V4)</f>
        <v>89985.488713145765</v>
      </c>
      <c r="AD4" s="4">
        <f>IF('Rhaniad y Ddeiliadaeth (Cymru)'!$D$18="Data Cofrestrfa Tir",'Prisiau Tai (Gogledd)'!E4,'Prisiau Tai (Gogledd)'!W4)</f>
        <v>90185.846329762178</v>
      </c>
      <c r="AE4" s="4">
        <f>IF('Rhaniad y Ddeiliadaeth (Cymru)'!$D$18="Data Cofrestrfa Tir",'Prisiau Tai (Gogledd)'!F4,'Prisiau Tai (Gogledd)'!X4)</f>
        <v>92127.040759353011</v>
      </c>
      <c r="AF4" s="4">
        <f>IF('Rhaniad y Ddeiliadaeth (Cymru)'!$D$18="Data Cofrestrfa Tir",'Prisiau Tai (Gogledd)'!G4,'Prisiau Tai (Gogledd)'!Y4)</f>
        <v>95719.918747273827</v>
      </c>
      <c r="AG4" s="4">
        <f>IF('Rhaniad y Ddeiliadaeth (Cymru)'!$D$18="Data Cofrestrfa Tir",'Prisiau Tai (Gogledd)'!H4,'Prisiau Tai (Gogledd)'!Z4)</f>
        <v>99690.373692853376</v>
      </c>
    </row>
    <row r="5" spans="2:35" x14ac:dyDescent="0.25">
      <c r="B5" s="20">
        <v>11</v>
      </c>
      <c r="C5" s="56">
        <v>90000</v>
      </c>
      <c r="D5" s="57">
        <f>C5*(1+'Rhaniad y Ddeiliadaeth (Gog)'!C$118)</f>
        <v>92556.502676378499</v>
      </c>
      <c r="E5" s="57">
        <f>D5*(1+'Rhaniad y Ddeiliadaeth (Gog)'!D$118)</f>
        <v>92762.584796326802</v>
      </c>
      <c r="F5" s="57">
        <f>E5*(1+'Rhaniad y Ddeiliadaeth (Gog)'!E$118)</f>
        <v>94759.241923905938</v>
      </c>
      <c r="G5" s="57">
        <f>F5*(1+'Rhaniad y Ddeiliadaeth (Gog)'!F$118)</f>
        <v>98454.773568624485</v>
      </c>
      <c r="H5" s="57">
        <f>G5*(1+'Rhaniad y Ddeiliadaeth (Gog)'!G$118)</f>
        <v>102538.67008407773</v>
      </c>
      <c r="J5" s="68" t="str">
        <f>IF(J4="","","Dim ond data ar gyfer un flwyddyn sydd angen i chi ychwanegu (unai 2017 neu 2018)")</f>
        <v/>
      </c>
      <c r="L5" s="62" t="str">
        <f t="shared" si="0"/>
        <v/>
      </c>
      <c r="M5" s="239"/>
      <c r="N5" s="14">
        <f t="shared" ref="N5:N68" si="3">IF(ISBLANK(M5),1,0)</f>
        <v>1</v>
      </c>
      <c r="T5" s="1">
        <f t="shared" si="1"/>
        <v>11</v>
      </c>
      <c r="U5" s="4" t="str">
        <f t="shared" si="2"/>
        <v/>
      </c>
      <c r="V5" s="4" t="e">
        <f>IF($V$3=$M$3,M5,U5*(1+'Rhaniad y Ddeiliadaeth (Cymru)'!C$118))</f>
        <v>#VALUE!</v>
      </c>
      <c r="W5" s="4" t="e">
        <f>V5*(1+'Rhaniad y Ddeiliadaeth (Cymru)'!D$118)</f>
        <v>#VALUE!</v>
      </c>
      <c r="X5" s="4" t="e">
        <f>W5*(1+'Rhaniad y Ddeiliadaeth (Cymru)'!E$118)</f>
        <v>#VALUE!</v>
      </c>
      <c r="Y5" s="4" t="e">
        <f>X5*(1+'Rhaniad y Ddeiliadaeth (Cymru)'!F$118)</f>
        <v>#VALUE!</v>
      </c>
      <c r="Z5" s="4" t="e">
        <f>Y5*(1+'Rhaniad y Ddeiliadaeth (Cymru)'!G$118)</f>
        <v>#VALUE!</v>
      </c>
      <c r="AB5" s="1">
        <v>11</v>
      </c>
      <c r="AC5" s="4">
        <f>IF('Rhaniad y Ddeiliadaeth (Cymru)'!$D$18="Data Cofrestrfa Tir",'Prisiau Tai (Gogledd)'!D5,'Prisiau Tai (Gogledd)'!V5)</f>
        <v>92556.502676378499</v>
      </c>
      <c r="AD5" s="4">
        <f>IF('Rhaniad y Ddeiliadaeth (Cymru)'!$D$18="Data Cofrestrfa Tir",'Prisiau Tai (Gogledd)'!E5,'Prisiau Tai (Gogledd)'!W5)</f>
        <v>92762.584796326802</v>
      </c>
      <c r="AE5" s="4">
        <f>IF('Rhaniad y Ddeiliadaeth (Cymru)'!$D$18="Data Cofrestrfa Tir",'Prisiau Tai (Gogledd)'!F5,'Prisiau Tai (Gogledd)'!X5)</f>
        <v>94759.241923905938</v>
      </c>
      <c r="AF5" s="4">
        <f>IF('Rhaniad y Ddeiliadaeth (Cymru)'!$D$18="Data Cofrestrfa Tir",'Prisiau Tai (Gogledd)'!G5,'Prisiau Tai (Gogledd)'!Y5)</f>
        <v>98454.773568624485</v>
      </c>
      <c r="AG5" s="4">
        <f>IF('Rhaniad y Ddeiliadaeth (Cymru)'!$D$18="Data Cofrestrfa Tir",'Prisiau Tai (Gogledd)'!H5,'Prisiau Tai (Gogledd)'!Z5)</f>
        <v>102538.67008407773</v>
      </c>
    </row>
    <row r="6" spans="2:35" x14ac:dyDescent="0.25">
      <c r="B6" s="20">
        <v>12</v>
      </c>
      <c r="C6" s="56">
        <v>92997.6</v>
      </c>
      <c r="D6" s="57">
        <f>C6*(1+'Rhaniad y Ddeiliadaeth (Gog)'!C$118)</f>
        <v>95639.251258853081</v>
      </c>
      <c r="E6" s="57">
        <f>D6*(1+'Rhaniad y Ddeiliadaeth (Gog)'!D$118)</f>
        <v>95852.19728727646</v>
      </c>
      <c r="F6" s="57">
        <f>E6*(1+'Rhaniad y Ddeiliadaeth (Gog)'!E$118)</f>
        <v>97915.356408251493</v>
      </c>
      <c r="G6" s="57">
        <f>F6*(1+'Rhaniad y Ddeiliadaeth (Gog)'!F$118)</f>
        <v>101733.9738936168</v>
      </c>
      <c r="H6" s="57">
        <f>G6*(1+'Rhaniad y Ddeiliadaeth (Gog)'!G$118)</f>
        <v>105953.89138901142</v>
      </c>
      <c r="L6" s="62" t="str">
        <f t="shared" si="0"/>
        <v/>
      </c>
      <c r="M6" s="239"/>
      <c r="N6" s="14">
        <f t="shared" si="3"/>
        <v>1</v>
      </c>
      <c r="T6" s="1">
        <f t="shared" si="1"/>
        <v>12</v>
      </c>
      <c r="U6" s="4" t="str">
        <f t="shared" si="2"/>
        <v/>
      </c>
      <c r="V6" s="4" t="e">
        <f>IF($V$3=$M$3,M6,U6*(1+'Rhaniad y Ddeiliadaeth (Cymru)'!C$118))</f>
        <v>#VALUE!</v>
      </c>
      <c r="W6" s="4" t="e">
        <f>V6*(1+'Rhaniad y Ddeiliadaeth (Cymru)'!D$118)</f>
        <v>#VALUE!</v>
      </c>
      <c r="X6" s="4" t="e">
        <f>W6*(1+'Rhaniad y Ddeiliadaeth (Cymru)'!E$118)</f>
        <v>#VALUE!</v>
      </c>
      <c r="Y6" s="4" t="e">
        <f>X6*(1+'Rhaniad y Ddeiliadaeth (Cymru)'!F$118)</f>
        <v>#VALUE!</v>
      </c>
      <c r="Z6" s="4" t="e">
        <f>Y6*(1+'Rhaniad y Ddeiliadaeth (Cymru)'!G$118)</f>
        <v>#VALUE!</v>
      </c>
      <c r="AB6" s="1">
        <v>12</v>
      </c>
      <c r="AC6" s="4">
        <f>IF('Rhaniad y Ddeiliadaeth (Cymru)'!$D$18="Data Cofrestrfa Tir",'Prisiau Tai (Gogledd)'!D6,'Prisiau Tai (Gogledd)'!V6)</f>
        <v>95639.251258853081</v>
      </c>
      <c r="AD6" s="4">
        <f>IF('Rhaniad y Ddeiliadaeth (Cymru)'!$D$18="Data Cofrestrfa Tir",'Prisiau Tai (Gogledd)'!E6,'Prisiau Tai (Gogledd)'!W6)</f>
        <v>95852.19728727646</v>
      </c>
      <c r="AE6" s="4">
        <f>IF('Rhaniad y Ddeiliadaeth (Cymru)'!$D$18="Data Cofrestrfa Tir",'Prisiau Tai (Gogledd)'!F6,'Prisiau Tai (Gogledd)'!X6)</f>
        <v>97915.356408251493</v>
      </c>
      <c r="AF6" s="4">
        <f>IF('Rhaniad y Ddeiliadaeth (Cymru)'!$D$18="Data Cofrestrfa Tir",'Prisiau Tai (Gogledd)'!G6,'Prisiau Tai (Gogledd)'!Y6)</f>
        <v>101733.9738936168</v>
      </c>
      <c r="AG6" s="4">
        <f>IF('Rhaniad y Ddeiliadaeth (Cymru)'!$D$18="Data Cofrestrfa Tir",'Prisiau Tai (Gogledd)'!H6,'Prisiau Tai (Gogledd)'!Z6)</f>
        <v>105953.89138901142</v>
      </c>
    </row>
    <row r="7" spans="2:35" x14ac:dyDescent="0.25">
      <c r="B7" s="20">
        <v>13</v>
      </c>
      <c r="C7" s="56">
        <v>95000</v>
      </c>
      <c r="D7" s="57">
        <f>C7*(1+'Rhaniad y Ddeiliadaeth (Gog)'!C$118)</f>
        <v>97698.530602843966</v>
      </c>
      <c r="E7" s="57">
        <f>D7*(1+'Rhaniad y Ddeiliadaeth (Gog)'!D$118)</f>
        <v>97916.061729456065</v>
      </c>
      <c r="F7" s="57">
        <f>E7*(1+'Rhaniad y Ddeiliadaeth (Gog)'!E$118)</f>
        <v>100023.64425301182</v>
      </c>
      <c r="G7" s="57">
        <f>F7*(1+'Rhaniad y Ddeiliadaeth (Gog)'!F$118)</f>
        <v>103924.48321132585</v>
      </c>
      <c r="H7" s="57">
        <f>G7*(1+'Rhaniad y Ddeiliadaeth (Gog)'!G$118)</f>
        <v>108235.26286652649</v>
      </c>
      <c r="J7" s="11" t="str">
        <f>IF(J4="","",IF(N85=1,"Mewnbwn y defnyddiwr yn anghyflawn",IF(N85=0,"Mewnbwn y defnyddiwr yn gyflawn","")))</f>
        <v/>
      </c>
      <c r="L7" s="62" t="str">
        <f t="shared" si="0"/>
        <v/>
      </c>
      <c r="M7" s="239"/>
      <c r="N7" s="14">
        <f t="shared" si="3"/>
        <v>1</v>
      </c>
      <c r="T7" s="1">
        <f t="shared" si="1"/>
        <v>13</v>
      </c>
      <c r="U7" s="4" t="str">
        <f t="shared" si="2"/>
        <v/>
      </c>
      <c r="V7" s="4" t="e">
        <f>IF($V$3=$M$3,M7,U7*(1+'Rhaniad y Ddeiliadaeth (Cymru)'!C$118))</f>
        <v>#VALUE!</v>
      </c>
      <c r="W7" s="4" t="e">
        <f>V7*(1+'Rhaniad y Ddeiliadaeth (Cymru)'!D$118)</f>
        <v>#VALUE!</v>
      </c>
      <c r="X7" s="4" t="e">
        <f>W7*(1+'Rhaniad y Ddeiliadaeth (Cymru)'!E$118)</f>
        <v>#VALUE!</v>
      </c>
      <c r="Y7" s="4" t="e">
        <f>X7*(1+'Rhaniad y Ddeiliadaeth (Cymru)'!F$118)</f>
        <v>#VALUE!</v>
      </c>
      <c r="Z7" s="4" t="e">
        <f>Y7*(1+'Rhaniad y Ddeiliadaeth (Cymru)'!G$118)</f>
        <v>#VALUE!</v>
      </c>
      <c r="AB7" s="1">
        <v>13</v>
      </c>
      <c r="AC7" s="4">
        <f>IF('Rhaniad y Ddeiliadaeth (Cymru)'!$D$18="Data Cofrestrfa Tir",'Prisiau Tai (Gogledd)'!D7,'Prisiau Tai (Gogledd)'!V7)</f>
        <v>97698.530602843966</v>
      </c>
      <c r="AD7" s="4">
        <f>IF('Rhaniad y Ddeiliadaeth (Cymru)'!$D$18="Data Cofrestrfa Tir",'Prisiau Tai (Gogledd)'!E7,'Prisiau Tai (Gogledd)'!W7)</f>
        <v>97916.061729456065</v>
      </c>
      <c r="AE7" s="4">
        <f>IF('Rhaniad y Ddeiliadaeth (Cymru)'!$D$18="Data Cofrestrfa Tir",'Prisiau Tai (Gogledd)'!F7,'Prisiau Tai (Gogledd)'!X7)</f>
        <v>100023.64425301182</v>
      </c>
      <c r="AF7" s="4">
        <f>IF('Rhaniad y Ddeiliadaeth (Cymru)'!$D$18="Data Cofrestrfa Tir",'Prisiau Tai (Gogledd)'!G7,'Prisiau Tai (Gogledd)'!Y7)</f>
        <v>103924.48321132585</v>
      </c>
      <c r="AG7" s="4">
        <f>IF('Rhaniad y Ddeiliadaeth (Cymru)'!$D$18="Data Cofrestrfa Tir",'Prisiau Tai (Gogledd)'!H7,'Prisiau Tai (Gogledd)'!Z7)</f>
        <v>108235.26286652649</v>
      </c>
    </row>
    <row r="8" spans="2:35" x14ac:dyDescent="0.25">
      <c r="B8" s="20">
        <v>14</v>
      </c>
      <c r="C8" s="56">
        <v>97000</v>
      </c>
      <c r="D8" s="57">
        <f>C8*(1+'Rhaniad y Ddeiliadaeth (Gog)'!C$118)</f>
        <v>99755.341773430162</v>
      </c>
      <c r="E8" s="57">
        <f>D8*(1+'Rhaniad y Ddeiliadaeth (Gog)'!D$118)</f>
        <v>99977.452502707776</v>
      </c>
      <c r="F8" s="57">
        <f>E8*(1+'Rhaniad y Ddeiliadaeth (Gog)'!E$118)</f>
        <v>102129.40518465418</v>
      </c>
      <c r="G8" s="57">
        <f>F8*(1+'Rhaniad y Ddeiliadaeth (Gog)'!F$118)</f>
        <v>106112.3670684064</v>
      </c>
      <c r="H8" s="57">
        <f>G8*(1+'Rhaniad y Ddeiliadaeth (Gog)'!G$118)</f>
        <v>110513.89997950601</v>
      </c>
      <c r="L8" s="62" t="str">
        <f t="shared" si="0"/>
        <v/>
      </c>
      <c r="M8" s="239"/>
      <c r="N8" s="14">
        <f t="shared" si="3"/>
        <v>1</v>
      </c>
      <c r="T8" s="1">
        <f t="shared" si="1"/>
        <v>14</v>
      </c>
      <c r="U8" s="4" t="str">
        <f t="shared" si="2"/>
        <v/>
      </c>
      <c r="V8" s="4" t="e">
        <f>IF($V$3=$M$3,M8,U8*(1+'Rhaniad y Ddeiliadaeth (Cymru)'!C$118))</f>
        <v>#VALUE!</v>
      </c>
      <c r="W8" s="4" t="e">
        <f>V8*(1+'Rhaniad y Ddeiliadaeth (Cymru)'!D$118)</f>
        <v>#VALUE!</v>
      </c>
      <c r="X8" s="4" t="e">
        <f>W8*(1+'Rhaniad y Ddeiliadaeth (Cymru)'!E$118)</f>
        <v>#VALUE!</v>
      </c>
      <c r="Y8" s="4" t="e">
        <f>X8*(1+'Rhaniad y Ddeiliadaeth (Cymru)'!F$118)</f>
        <v>#VALUE!</v>
      </c>
      <c r="Z8" s="4" t="e">
        <f>Y8*(1+'Rhaniad y Ddeiliadaeth (Cymru)'!G$118)</f>
        <v>#VALUE!</v>
      </c>
      <c r="AB8" s="1">
        <v>14</v>
      </c>
      <c r="AC8" s="4">
        <f>IF('Rhaniad y Ddeiliadaeth (Cymru)'!$D$18="Data Cofrestrfa Tir",'Prisiau Tai (Gogledd)'!D8,'Prisiau Tai (Gogledd)'!V8)</f>
        <v>99755.341773430162</v>
      </c>
      <c r="AD8" s="4">
        <f>IF('Rhaniad y Ddeiliadaeth (Cymru)'!$D$18="Data Cofrestrfa Tir",'Prisiau Tai (Gogledd)'!E8,'Prisiau Tai (Gogledd)'!W8)</f>
        <v>99977.452502707776</v>
      </c>
      <c r="AE8" s="4">
        <f>IF('Rhaniad y Ddeiliadaeth (Cymru)'!$D$18="Data Cofrestrfa Tir",'Prisiau Tai (Gogledd)'!F8,'Prisiau Tai (Gogledd)'!X8)</f>
        <v>102129.40518465418</v>
      </c>
      <c r="AF8" s="4">
        <f>IF('Rhaniad y Ddeiliadaeth (Cymru)'!$D$18="Data Cofrestrfa Tir",'Prisiau Tai (Gogledd)'!G8,'Prisiau Tai (Gogledd)'!Y8)</f>
        <v>106112.3670684064</v>
      </c>
      <c r="AG8" s="4">
        <f>IF('Rhaniad y Ddeiliadaeth (Cymru)'!$D$18="Data Cofrestrfa Tir",'Prisiau Tai (Gogledd)'!H8,'Prisiau Tai (Gogledd)'!Z8)</f>
        <v>110513.89997950601</v>
      </c>
    </row>
    <row r="9" spans="2:35" x14ac:dyDescent="0.25">
      <c r="B9" s="20">
        <v>15</v>
      </c>
      <c r="C9" s="56">
        <v>100000</v>
      </c>
      <c r="D9" s="57">
        <f>C9*(1+'Rhaniad y Ddeiliadaeth (Gog)'!C$118)</f>
        <v>102840.55852930945</v>
      </c>
      <c r="E9" s="57">
        <f>D9*(1+'Rhaniad y Ddeiliadaeth (Gog)'!D$118)</f>
        <v>103069.53866258534</v>
      </c>
      <c r="F9" s="57">
        <f>E9*(1+'Rhaniad y Ddeiliadaeth (Gog)'!E$118)</f>
        <v>105288.04658211772</v>
      </c>
      <c r="G9" s="57">
        <f>F9*(1+'Rhaniad y Ddeiliadaeth (Gog)'!F$118)</f>
        <v>109394.19285402722</v>
      </c>
      <c r="H9" s="57">
        <f>G9*(1+'Rhaniad y Ddeiliadaeth (Gog)'!G$118)</f>
        <v>113931.85564897528</v>
      </c>
      <c r="J9" s="420" t="str">
        <f>IF(J4="","Os hoffech ddefnyddio data eich hunain ar gyfer dosbarthiad prisiau tai, newidwch eich dewislen.","")</f>
        <v>Os hoffech ddefnyddio data eich hunain ar gyfer dosbarthiad prisiau tai, newidwch eich dewislen.</v>
      </c>
      <c r="L9" s="62" t="str">
        <f t="shared" si="0"/>
        <v/>
      </c>
      <c r="M9" s="239"/>
      <c r="N9" s="14">
        <f t="shared" si="3"/>
        <v>1</v>
      </c>
      <c r="T9" s="1">
        <f t="shared" si="1"/>
        <v>15</v>
      </c>
      <c r="U9" s="4" t="str">
        <f t="shared" si="2"/>
        <v/>
      </c>
      <c r="V9" s="4" t="e">
        <f>IF($V$3=$M$3,M9,U9*(1+'Rhaniad y Ddeiliadaeth (Cymru)'!C$118))</f>
        <v>#VALUE!</v>
      </c>
      <c r="W9" s="4" t="e">
        <f>V9*(1+'Rhaniad y Ddeiliadaeth (Cymru)'!D$118)</f>
        <v>#VALUE!</v>
      </c>
      <c r="X9" s="4" t="e">
        <f>W9*(1+'Rhaniad y Ddeiliadaeth (Cymru)'!E$118)</f>
        <v>#VALUE!</v>
      </c>
      <c r="Y9" s="4" t="e">
        <f>X9*(1+'Rhaniad y Ddeiliadaeth (Cymru)'!F$118)</f>
        <v>#VALUE!</v>
      </c>
      <c r="Z9" s="4" t="e">
        <f>Y9*(1+'Rhaniad y Ddeiliadaeth (Cymru)'!G$118)</f>
        <v>#VALUE!</v>
      </c>
      <c r="AB9" s="1">
        <v>15</v>
      </c>
      <c r="AC9" s="4">
        <f>IF('Rhaniad y Ddeiliadaeth (Cymru)'!$D$18="Data Cofrestrfa Tir",'Prisiau Tai (Gogledd)'!D9,'Prisiau Tai (Gogledd)'!V9)</f>
        <v>102840.55852930945</v>
      </c>
      <c r="AD9" s="4">
        <f>IF('Rhaniad y Ddeiliadaeth (Cymru)'!$D$18="Data Cofrestrfa Tir",'Prisiau Tai (Gogledd)'!E9,'Prisiau Tai (Gogledd)'!W9)</f>
        <v>103069.53866258534</v>
      </c>
      <c r="AE9" s="4">
        <f>IF('Rhaniad y Ddeiliadaeth (Cymru)'!$D$18="Data Cofrestrfa Tir",'Prisiau Tai (Gogledd)'!F9,'Prisiau Tai (Gogledd)'!X9)</f>
        <v>105288.04658211772</v>
      </c>
      <c r="AF9" s="4">
        <f>IF('Rhaniad y Ddeiliadaeth (Cymru)'!$D$18="Data Cofrestrfa Tir",'Prisiau Tai (Gogledd)'!G9,'Prisiau Tai (Gogledd)'!Y9)</f>
        <v>109394.19285402722</v>
      </c>
      <c r="AG9" s="4">
        <f>IF('Rhaniad y Ddeiliadaeth (Cymru)'!$D$18="Data Cofrestrfa Tir",'Prisiau Tai (Gogledd)'!H9,'Prisiau Tai (Gogledd)'!Z9)</f>
        <v>113931.85564897528</v>
      </c>
    </row>
    <row r="10" spans="2:35" x14ac:dyDescent="0.25">
      <c r="B10" s="20">
        <v>16</v>
      </c>
      <c r="C10" s="56">
        <v>100000</v>
      </c>
      <c r="D10" s="57">
        <f>C10*(1+'Rhaniad y Ddeiliadaeth (Gog)'!C$118)</f>
        <v>102840.55852930945</v>
      </c>
      <c r="E10" s="57">
        <f>D10*(1+'Rhaniad y Ddeiliadaeth (Gog)'!D$118)</f>
        <v>103069.53866258534</v>
      </c>
      <c r="F10" s="57">
        <f>E10*(1+'Rhaniad y Ddeiliadaeth (Gog)'!E$118)</f>
        <v>105288.04658211772</v>
      </c>
      <c r="G10" s="57">
        <f>F10*(1+'Rhaniad y Ddeiliadaeth (Gog)'!F$118)</f>
        <v>109394.19285402722</v>
      </c>
      <c r="H10" s="57">
        <f>G10*(1+'Rhaniad y Ddeiliadaeth (Gog)'!G$118)</f>
        <v>113931.85564897528</v>
      </c>
      <c r="J10" s="420"/>
      <c r="L10" s="62" t="str">
        <f t="shared" si="0"/>
        <v/>
      </c>
      <c r="M10" s="239"/>
      <c r="N10" s="14">
        <f t="shared" si="3"/>
        <v>1</v>
      </c>
      <c r="T10" s="1">
        <f t="shared" si="1"/>
        <v>16</v>
      </c>
      <c r="U10" s="4" t="str">
        <f t="shared" si="2"/>
        <v/>
      </c>
      <c r="V10" s="4" t="e">
        <f>IF($V$3=$M$3,M10,U10*(1+'Rhaniad y Ddeiliadaeth (Cymru)'!C$118))</f>
        <v>#VALUE!</v>
      </c>
      <c r="W10" s="4" t="e">
        <f>V10*(1+'Rhaniad y Ddeiliadaeth (Cymru)'!D$118)</f>
        <v>#VALUE!</v>
      </c>
      <c r="X10" s="4" t="e">
        <f>W10*(1+'Rhaniad y Ddeiliadaeth (Cymru)'!E$118)</f>
        <v>#VALUE!</v>
      </c>
      <c r="Y10" s="4" t="e">
        <f>X10*(1+'Rhaniad y Ddeiliadaeth (Cymru)'!F$118)</f>
        <v>#VALUE!</v>
      </c>
      <c r="Z10" s="4" t="e">
        <f>Y10*(1+'Rhaniad y Ddeiliadaeth (Cymru)'!G$118)</f>
        <v>#VALUE!</v>
      </c>
      <c r="AB10" s="1">
        <v>16</v>
      </c>
      <c r="AC10" s="4">
        <f>IF('Rhaniad y Ddeiliadaeth (Cymru)'!$D$18="Data Cofrestrfa Tir",'Prisiau Tai (Gogledd)'!D10,'Prisiau Tai (Gogledd)'!V10)</f>
        <v>102840.55852930945</v>
      </c>
      <c r="AD10" s="4">
        <f>IF('Rhaniad y Ddeiliadaeth (Cymru)'!$D$18="Data Cofrestrfa Tir",'Prisiau Tai (Gogledd)'!E10,'Prisiau Tai (Gogledd)'!W10)</f>
        <v>103069.53866258534</v>
      </c>
      <c r="AE10" s="4">
        <f>IF('Rhaniad y Ddeiliadaeth (Cymru)'!$D$18="Data Cofrestrfa Tir",'Prisiau Tai (Gogledd)'!F10,'Prisiau Tai (Gogledd)'!X10)</f>
        <v>105288.04658211772</v>
      </c>
      <c r="AF10" s="4">
        <f>IF('Rhaniad y Ddeiliadaeth (Cymru)'!$D$18="Data Cofrestrfa Tir",'Prisiau Tai (Gogledd)'!G10,'Prisiau Tai (Gogledd)'!Y10)</f>
        <v>109394.19285402722</v>
      </c>
      <c r="AG10" s="4">
        <f>IF('Rhaniad y Ddeiliadaeth (Cymru)'!$D$18="Data Cofrestrfa Tir",'Prisiau Tai (Gogledd)'!H10,'Prisiau Tai (Gogledd)'!Z10)</f>
        <v>113931.85564897528</v>
      </c>
    </row>
    <row r="11" spans="2:35" x14ac:dyDescent="0.25">
      <c r="B11" s="20">
        <v>17</v>
      </c>
      <c r="C11" s="56">
        <v>103000</v>
      </c>
      <c r="D11" s="57">
        <f>C11*(1+'Rhaniad y Ddeiliadaeth (Gog)'!C$118)</f>
        <v>105925.77528518873</v>
      </c>
      <c r="E11" s="57">
        <f>D11*(1+'Rhaniad y Ddeiliadaeth (Gog)'!D$118)</f>
        <v>106161.62482246291</v>
      </c>
      <c r="F11" s="57">
        <f>E11*(1+'Rhaniad y Ddeiliadaeth (Gog)'!E$118)</f>
        <v>108446.68797958126</v>
      </c>
      <c r="G11" s="57">
        <f>F11*(1+'Rhaniad y Ddeiliadaeth (Gog)'!F$118)</f>
        <v>112676.01863964804</v>
      </c>
      <c r="H11" s="57">
        <f>G11*(1+'Rhaniad y Ddeiliadaeth (Gog)'!G$118)</f>
        <v>117349.81131844454</v>
      </c>
      <c r="L11" s="62" t="str">
        <f t="shared" si="0"/>
        <v/>
      </c>
      <c r="M11" s="239"/>
      <c r="N11" s="14">
        <f t="shared" si="3"/>
        <v>1</v>
      </c>
      <c r="T11" s="1">
        <f t="shared" si="1"/>
        <v>17</v>
      </c>
      <c r="U11" s="4" t="str">
        <f t="shared" si="2"/>
        <v/>
      </c>
      <c r="V11" s="4" t="e">
        <f>IF($V$3=$M$3,M11,U11*(1+'Rhaniad y Ddeiliadaeth (Cymru)'!C$118))</f>
        <v>#VALUE!</v>
      </c>
      <c r="W11" s="4" t="e">
        <f>V11*(1+'Rhaniad y Ddeiliadaeth (Cymru)'!D$118)</f>
        <v>#VALUE!</v>
      </c>
      <c r="X11" s="4" t="e">
        <f>W11*(1+'Rhaniad y Ddeiliadaeth (Cymru)'!E$118)</f>
        <v>#VALUE!</v>
      </c>
      <c r="Y11" s="4" t="e">
        <f>X11*(1+'Rhaniad y Ddeiliadaeth (Cymru)'!F$118)</f>
        <v>#VALUE!</v>
      </c>
      <c r="Z11" s="4" t="e">
        <f>Y11*(1+'Rhaniad y Ddeiliadaeth (Cymru)'!G$118)</f>
        <v>#VALUE!</v>
      </c>
      <c r="AB11" s="1">
        <v>17</v>
      </c>
      <c r="AC11" s="4">
        <f>IF('Rhaniad y Ddeiliadaeth (Cymru)'!$D$18="Data Cofrestrfa Tir",'Prisiau Tai (Gogledd)'!D11,'Prisiau Tai (Gogledd)'!V11)</f>
        <v>105925.77528518873</v>
      </c>
      <c r="AD11" s="4">
        <f>IF('Rhaniad y Ddeiliadaeth (Cymru)'!$D$18="Data Cofrestrfa Tir",'Prisiau Tai (Gogledd)'!E11,'Prisiau Tai (Gogledd)'!W11)</f>
        <v>106161.62482246291</v>
      </c>
      <c r="AE11" s="4">
        <f>IF('Rhaniad y Ddeiliadaeth (Cymru)'!$D$18="Data Cofrestrfa Tir",'Prisiau Tai (Gogledd)'!F11,'Prisiau Tai (Gogledd)'!X11)</f>
        <v>108446.68797958126</v>
      </c>
      <c r="AF11" s="4">
        <f>IF('Rhaniad y Ddeiliadaeth (Cymru)'!$D$18="Data Cofrestrfa Tir",'Prisiau Tai (Gogledd)'!G11,'Prisiau Tai (Gogledd)'!Y11)</f>
        <v>112676.01863964804</v>
      </c>
      <c r="AG11" s="4">
        <f>IF('Rhaniad y Ddeiliadaeth (Cymru)'!$D$18="Data Cofrestrfa Tir",'Prisiau Tai (Gogledd)'!H11,'Prisiau Tai (Gogledd)'!Z11)</f>
        <v>117349.81131844454</v>
      </c>
    </row>
    <row r="12" spans="2:35" x14ac:dyDescent="0.25">
      <c r="B12" s="20">
        <v>18</v>
      </c>
      <c r="C12" s="56">
        <v>105000</v>
      </c>
      <c r="D12" s="57">
        <f>C12*(1+'Rhaniad y Ddeiliadaeth (Gog)'!C$118)</f>
        <v>107982.58645577492</v>
      </c>
      <c r="E12" s="57">
        <f>D12*(1+'Rhaniad y Ddeiliadaeth (Gog)'!D$118)</f>
        <v>108223.01559571461</v>
      </c>
      <c r="F12" s="57">
        <f>E12*(1+'Rhaniad y Ddeiliadaeth (Gog)'!E$118)</f>
        <v>110552.4489112236</v>
      </c>
      <c r="G12" s="57">
        <f>F12*(1+'Rhaniad y Ddeiliadaeth (Gog)'!F$118)</f>
        <v>114863.90249672858</v>
      </c>
      <c r="H12" s="57">
        <f>G12*(1+'Rhaniad y Ddeiliadaeth (Gog)'!G$118)</f>
        <v>119628.44843142404</v>
      </c>
      <c r="L12" s="62" t="str">
        <f t="shared" si="0"/>
        <v/>
      </c>
      <c r="M12" s="239"/>
      <c r="N12" s="14">
        <f t="shared" si="3"/>
        <v>1</v>
      </c>
      <c r="T12" s="1">
        <f t="shared" si="1"/>
        <v>18</v>
      </c>
      <c r="U12" s="4" t="str">
        <f t="shared" si="2"/>
        <v/>
      </c>
      <c r="V12" s="4" t="e">
        <f>IF($V$3=$M$3,M12,U12*(1+'Rhaniad y Ddeiliadaeth (Cymru)'!C$118))</f>
        <v>#VALUE!</v>
      </c>
      <c r="W12" s="4" t="e">
        <f>V12*(1+'Rhaniad y Ddeiliadaeth (Cymru)'!D$118)</f>
        <v>#VALUE!</v>
      </c>
      <c r="X12" s="4" t="e">
        <f>W12*(1+'Rhaniad y Ddeiliadaeth (Cymru)'!E$118)</f>
        <v>#VALUE!</v>
      </c>
      <c r="Y12" s="4" t="e">
        <f>X12*(1+'Rhaniad y Ddeiliadaeth (Cymru)'!F$118)</f>
        <v>#VALUE!</v>
      </c>
      <c r="Z12" s="4" t="e">
        <f>Y12*(1+'Rhaniad y Ddeiliadaeth (Cymru)'!G$118)</f>
        <v>#VALUE!</v>
      </c>
      <c r="AB12" s="1">
        <v>18</v>
      </c>
      <c r="AC12" s="4">
        <f>IF('Rhaniad y Ddeiliadaeth (Cymru)'!$D$18="Data Cofrestrfa Tir",'Prisiau Tai (Gogledd)'!D12,'Prisiau Tai (Gogledd)'!V12)</f>
        <v>107982.58645577492</v>
      </c>
      <c r="AD12" s="4">
        <f>IF('Rhaniad y Ddeiliadaeth (Cymru)'!$D$18="Data Cofrestrfa Tir",'Prisiau Tai (Gogledd)'!E12,'Prisiau Tai (Gogledd)'!W12)</f>
        <v>108223.01559571461</v>
      </c>
      <c r="AE12" s="4">
        <f>IF('Rhaniad y Ddeiliadaeth (Cymru)'!$D$18="Data Cofrestrfa Tir",'Prisiau Tai (Gogledd)'!F12,'Prisiau Tai (Gogledd)'!X12)</f>
        <v>110552.4489112236</v>
      </c>
      <c r="AF12" s="4">
        <f>IF('Rhaniad y Ddeiliadaeth (Cymru)'!$D$18="Data Cofrestrfa Tir",'Prisiau Tai (Gogledd)'!G12,'Prisiau Tai (Gogledd)'!Y12)</f>
        <v>114863.90249672858</v>
      </c>
      <c r="AG12" s="4">
        <f>IF('Rhaniad y Ddeiliadaeth (Cymru)'!$D$18="Data Cofrestrfa Tir",'Prisiau Tai (Gogledd)'!H12,'Prisiau Tai (Gogledd)'!Z12)</f>
        <v>119628.44843142404</v>
      </c>
    </row>
    <row r="13" spans="2:35" x14ac:dyDescent="0.25">
      <c r="B13" s="20">
        <v>19</v>
      </c>
      <c r="C13" s="56">
        <v>107000</v>
      </c>
      <c r="D13" s="57">
        <f>C13*(1+'Rhaniad y Ddeiliadaeth (Gog)'!C$118)</f>
        <v>110039.39762636111</v>
      </c>
      <c r="E13" s="57">
        <f>D13*(1+'Rhaniad y Ddeiliadaeth (Gog)'!D$118)</f>
        <v>110284.40636896632</v>
      </c>
      <c r="F13" s="57">
        <f>E13*(1+'Rhaniad y Ddeiliadaeth (Gog)'!E$118)</f>
        <v>112658.20984286595</v>
      </c>
      <c r="G13" s="57">
        <f>F13*(1+'Rhaniad y Ddeiliadaeth (Gog)'!F$118)</f>
        <v>117051.78635380912</v>
      </c>
      <c r="H13" s="57">
        <f>G13*(1+'Rhaniad y Ddeiliadaeth (Gog)'!G$118)</f>
        <v>121907.08554440354</v>
      </c>
      <c r="L13" s="62" t="str">
        <f t="shared" si="0"/>
        <v/>
      </c>
      <c r="M13" s="239"/>
      <c r="N13" s="14">
        <f t="shared" si="3"/>
        <v>1</v>
      </c>
      <c r="T13" s="1">
        <f t="shared" si="1"/>
        <v>19</v>
      </c>
      <c r="U13" s="4" t="str">
        <f t="shared" si="2"/>
        <v/>
      </c>
      <c r="V13" s="4" t="e">
        <f>IF($V$3=$M$3,M13,U13*(1+'Rhaniad y Ddeiliadaeth (Cymru)'!C$118))</f>
        <v>#VALUE!</v>
      </c>
      <c r="W13" s="4" t="e">
        <f>V13*(1+'Rhaniad y Ddeiliadaeth (Cymru)'!D$118)</f>
        <v>#VALUE!</v>
      </c>
      <c r="X13" s="4" t="e">
        <f>W13*(1+'Rhaniad y Ddeiliadaeth (Cymru)'!E$118)</f>
        <v>#VALUE!</v>
      </c>
      <c r="Y13" s="4" t="e">
        <f>X13*(1+'Rhaniad y Ddeiliadaeth (Cymru)'!F$118)</f>
        <v>#VALUE!</v>
      </c>
      <c r="Z13" s="4" t="e">
        <f>Y13*(1+'Rhaniad y Ddeiliadaeth (Cymru)'!G$118)</f>
        <v>#VALUE!</v>
      </c>
      <c r="AB13" s="1">
        <v>19</v>
      </c>
      <c r="AC13" s="4">
        <f>IF('Rhaniad y Ddeiliadaeth (Cymru)'!$D$18="Data Cofrestrfa Tir",'Prisiau Tai (Gogledd)'!D13,'Prisiau Tai (Gogledd)'!V13)</f>
        <v>110039.39762636111</v>
      </c>
      <c r="AD13" s="4">
        <f>IF('Rhaniad y Ddeiliadaeth (Cymru)'!$D$18="Data Cofrestrfa Tir",'Prisiau Tai (Gogledd)'!E13,'Prisiau Tai (Gogledd)'!W13)</f>
        <v>110284.40636896632</v>
      </c>
      <c r="AE13" s="4">
        <f>IF('Rhaniad y Ddeiliadaeth (Cymru)'!$D$18="Data Cofrestrfa Tir",'Prisiau Tai (Gogledd)'!F13,'Prisiau Tai (Gogledd)'!X13)</f>
        <v>112658.20984286595</v>
      </c>
      <c r="AF13" s="4">
        <f>IF('Rhaniad y Ddeiliadaeth (Cymru)'!$D$18="Data Cofrestrfa Tir",'Prisiau Tai (Gogledd)'!G13,'Prisiau Tai (Gogledd)'!Y13)</f>
        <v>117051.78635380912</v>
      </c>
      <c r="AG13" s="4">
        <f>IF('Rhaniad y Ddeiliadaeth (Cymru)'!$D$18="Data Cofrestrfa Tir",'Prisiau Tai (Gogledd)'!H13,'Prisiau Tai (Gogledd)'!Z13)</f>
        <v>121907.08554440354</v>
      </c>
    </row>
    <row r="14" spans="2:35" x14ac:dyDescent="0.25">
      <c r="B14" s="20">
        <v>20</v>
      </c>
      <c r="C14" s="56">
        <v>109000</v>
      </c>
      <c r="D14" s="57">
        <f>C14*(1+'Rhaniad y Ddeiliadaeth (Gog)'!C$118)</f>
        <v>112096.20879694729</v>
      </c>
      <c r="E14" s="57">
        <f>D14*(1+'Rhaniad y Ddeiliadaeth (Gog)'!D$118)</f>
        <v>112345.79714221801</v>
      </c>
      <c r="F14" s="57">
        <f>E14*(1+'Rhaniad y Ddeiliadaeth (Gog)'!E$118)</f>
        <v>114763.9707745083</v>
      </c>
      <c r="G14" s="57">
        <f>F14*(1+'Rhaniad y Ddeiliadaeth (Gog)'!F$118)</f>
        <v>119239.67021088966</v>
      </c>
      <c r="H14" s="57">
        <f>G14*(1+'Rhaniad y Ddeiliadaeth (Gog)'!G$118)</f>
        <v>124185.72265738304</v>
      </c>
      <c r="L14" s="62" t="str">
        <f t="shared" si="0"/>
        <v/>
      </c>
      <c r="M14" s="239"/>
      <c r="N14" s="14">
        <f t="shared" si="3"/>
        <v>1</v>
      </c>
      <c r="T14" s="1">
        <f t="shared" si="1"/>
        <v>20</v>
      </c>
      <c r="U14" s="4" t="str">
        <f t="shared" si="2"/>
        <v/>
      </c>
      <c r="V14" s="4" t="e">
        <f>IF($V$3=$M$3,M14,U14*(1+'Rhaniad y Ddeiliadaeth (Cymru)'!C$118))</f>
        <v>#VALUE!</v>
      </c>
      <c r="W14" s="4" t="e">
        <f>V14*(1+'Rhaniad y Ddeiliadaeth (Cymru)'!D$118)</f>
        <v>#VALUE!</v>
      </c>
      <c r="X14" s="4" t="e">
        <f>W14*(1+'Rhaniad y Ddeiliadaeth (Cymru)'!E$118)</f>
        <v>#VALUE!</v>
      </c>
      <c r="Y14" s="4" t="e">
        <f>X14*(1+'Rhaniad y Ddeiliadaeth (Cymru)'!F$118)</f>
        <v>#VALUE!</v>
      </c>
      <c r="Z14" s="4" t="e">
        <f>Y14*(1+'Rhaniad y Ddeiliadaeth (Cymru)'!G$118)</f>
        <v>#VALUE!</v>
      </c>
      <c r="AB14" s="1">
        <v>20</v>
      </c>
      <c r="AC14" s="4">
        <f>IF('Rhaniad y Ddeiliadaeth (Cymru)'!$D$18="Data Cofrestrfa Tir",'Prisiau Tai (Gogledd)'!D14,'Prisiau Tai (Gogledd)'!V14)</f>
        <v>112096.20879694729</v>
      </c>
      <c r="AD14" s="4">
        <f>IF('Rhaniad y Ddeiliadaeth (Cymru)'!$D$18="Data Cofrestrfa Tir",'Prisiau Tai (Gogledd)'!E14,'Prisiau Tai (Gogledd)'!W14)</f>
        <v>112345.79714221801</v>
      </c>
      <c r="AE14" s="4">
        <f>IF('Rhaniad y Ddeiliadaeth (Cymru)'!$D$18="Data Cofrestrfa Tir",'Prisiau Tai (Gogledd)'!F14,'Prisiau Tai (Gogledd)'!X14)</f>
        <v>114763.9707745083</v>
      </c>
      <c r="AF14" s="4">
        <f>IF('Rhaniad y Ddeiliadaeth (Cymru)'!$D$18="Data Cofrestrfa Tir",'Prisiau Tai (Gogledd)'!G14,'Prisiau Tai (Gogledd)'!Y14)</f>
        <v>119239.67021088966</v>
      </c>
      <c r="AG14" s="4">
        <f>IF('Rhaniad y Ddeiliadaeth (Cymru)'!$D$18="Data Cofrestrfa Tir",'Prisiau Tai (Gogledd)'!H14,'Prisiau Tai (Gogledd)'!Z14)</f>
        <v>124185.72265738304</v>
      </c>
    </row>
    <row r="15" spans="2:35" x14ac:dyDescent="0.25">
      <c r="B15" s="20">
        <v>21</v>
      </c>
      <c r="C15" s="56">
        <v>110000</v>
      </c>
      <c r="D15" s="57">
        <f>C15*(1+'Rhaniad y Ddeiliadaeth (Gog)'!C$118)</f>
        <v>113124.61438224038</v>
      </c>
      <c r="E15" s="57">
        <f>D15*(1+'Rhaniad y Ddeiliadaeth (Gog)'!D$118)</f>
        <v>113376.49252884387</v>
      </c>
      <c r="F15" s="57">
        <f>E15*(1+'Rhaniad y Ddeiliadaeth (Gog)'!E$118)</f>
        <v>115816.85124032947</v>
      </c>
      <c r="G15" s="57">
        <f>F15*(1+'Rhaniad y Ddeiliadaeth (Gog)'!F$118)</f>
        <v>120333.61213942993</v>
      </c>
      <c r="H15" s="57">
        <f>G15*(1+'Rhaniad y Ddeiliadaeth (Gog)'!G$118)</f>
        <v>125325.04121387278</v>
      </c>
      <c r="L15" s="62" t="str">
        <f t="shared" si="0"/>
        <v/>
      </c>
      <c r="M15" s="239"/>
      <c r="N15" s="14">
        <f t="shared" si="3"/>
        <v>1</v>
      </c>
      <c r="T15" s="1">
        <f t="shared" si="1"/>
        <v>21</v>
      </c>
      <c r="U15" s="4" t="str">
        <f t="shared" si="2"/>
        <v/>
      </c>
      <c r="V15" s="4" t="e">
        <f>IF($V$3=$M$3,M15,U15*(1+'Rhaniad y Ddeiliadaeth (Cymru)'!C$118))</f>
        <v>#VALUE!</v>
      </c>
      <c r="W15" s="4" t="e">
        <f>V15*(1+'Rhaniad y Ddeiliadaeth (Cymru)'!D$118)</f>
        <v>#VALUE!</v>
      </c>
      <c r="X15" s="4" t="e">
        <f>W15*(1+'Rhaniad y Ddeiliadaeth (Cymru)'!E$118)</f>
        <v>#VALUE!</v>
      </c>
      <c r="Y15" s="4" t="e">
        <f>X15*(1+'Rhaniad y Ddeiliadaeth (Cymru)'!F$118)</f>
        <v>#VALUE!</v>
      </c>
      <c r="Z15" s="4" t="e">
        <f>Y15*(1+'Rhaniad y Ddeiliadaeth (Cymru)'!G$118)</f>
        <v>#VALUE!</v>
      </c>
      <c r="AB15" s="1">
        <v>21</v>
      </c>
      <c r="AC15" s="4">
        <f>IF('Rhaniad y Ddeiliadaeth (Cymru)'!$D$18="Data Cofrestrfa Tir",'Prisiau Tai (Gogledd)'!D15,'Prisiau Tai (Gogledd)'!V15)</f>
        <v>113124.61438224038</v>
      </c>
      <c r="AD15" s="4">
        <f>IF('Rhaniad y Ddeiliadaeth (Cymru)'!$D$18="Data Cofrestrfa Tir",'Prisiau Tai (Gogledd)'!E15,'Prisiau Tai (Gogledd)'!W15)</f>
        <v>113376.49252884387</v>
      </c>
      <c r="AE15" s="4">
        <f>IF('Rhaniad y Ddeiliadaeth (Cymru)'!$D$18="Data Cofrestrfa Tir",'Prisiau Tai (Gogledd)'!F15,'Prisiau Tai (Gogledd)'!X15)</f>
        <v>115816.85124032947</v>
      </c>
      <c r="AF15" s="4">
        <f>IF('Rhaniad y Ddeiliadaeth (Cymru)'!$D$18="Data Cofrestrfa Tir",'Prisiau Tai (Gogledd)'!G15,'Prisiau Tai (Gogledd)'!Y15)</f>
        <v>120333.61213942993</v>
      </c>
      <c r="AG15" s="4">
        <f>IF('Rhaniad y Ddeiliadaeth (Cymru)'!$D$18="Data Cofrestrfa Tir",'Prisiau Tai (Gogledd)'!H15,'Prisiau Tai (Gogledd)'!Z15)</f>
        <v>125325.04121387278</v>
      </c>
      <c r="AI15" s="1" t="s">
        <v>6</v>
      </c>
    </row>
    <row r="16" spans="2:35" x14ac:dyDescent="0.25">
      <c r="B16" s="20">
        <v>22</v>
      </c>
      <c r="C16" s="56">
        <v>112000</v>
      </c>
      <c r="D16" s="57">
        <f>C16*(1+'Rhaniad y Ddeiliadaeth (Gog)'!C$118)</f>
        <v>115181.42555282658</v>
      </c>
      <c r="E16" s="57">
        <f>D16*(1+'Rhaniad y Ddeiliadaeth (Gog)'!D$118)</f>
        <v>115437.88330209558</v>
      </c>
      <c r="F16" s="57">
        <f>E16*(1+'Rhaniad y Ddeiliadaeth (Gog)'!E$118)</f>
        <v>117922.61217197184</v>
      </c>
      <c r="G16" s="57">
        <f>F16*(1+'Rhaniad y Ddeiliadaeth (Gog)'!F$118)</f>
        <v>122521.49599651048</v>
      </c>
      <c r="H16" s="57">
        <f>G16*(1+'Rhaniad y Ddeiliadaeth (Gog)'!G$118)</f>
        <v>127603.6783268523</v>
      </c>
      <c r="L16" s="62" t="str">
        <f t="shared" si="0"/>
        <v/>
      </c>
      <c r="M16" s="239"/>
      <c r="N16" s="14">
        <f t="shared" si="3"/>
        <v>1</v>
      </c>
      <c r="T16" s="1">
        <f t="shared" si="1"/>
        <v>22</v>
      </c>
      <c r="U16" s="4" t="str">
        <f t="shared" si="2"/>
        <v/>
      </c>
      <c r="V16" s="4" t="e">
        <f>IF($V$3=$M$3,M16,U16*(1+'Rhaniad y Ddeiliadaeth (Cymru)'!C$118))</f>
        <v>#VALUE!</v>
      </c>
      <c r="W16" s="4" t="e">
        <f>V16*(1+'Rhaniad y Ddeiliadaeth (Cymru)'!D$118)</f>
        <v>#VALUE!</v>
      </c>
      <c r="X16" s="4" t="e">
        <f>W16*(1+'Rhaniad y Ddeiliadaeth (Cymru)'!E$118)</f>
        <v>#VALUE!</v>
      </c>
      <c r="Y16" s="4" t="e">
        <f>X16*(1+'Rhaniad y Ddeiliadaeth (Cymru)'!F$118)</f>
        <v>#VALUE!</v>
      </c>
      <c r="Z16" s="4" t="e">
        <f>Y16*(1+'Rhaniad y Ddeiliadaeth (Cymru)'!G$118)</f>
        <v>#VALUE!</v>
      </c>
      <c r="AB16" s="1">
        <v>22</v>
      </c>
      <c r="AC16" s="4">
        <f>IF('Rhaniad y Ddeiliadaeth (Cymru)'!$D$18="Data Cofrestrfa Tir",'Prisiau Tai (Gogledd)'!D16,'Prisiau Tai (Gogledd)'!V16)</f>
        <v>115181.42555282658</v>
      </c>
      <c r="AD16" s="4">
        <f>IF('Rhaniad y Ddeiliadaeth (Cymru)'!$D$18="Data Cofrestrfa Tir",'Prisiau Tai (Gogledd)'!E16,'Prisiau Tai (Gogledd)'!W16)</f>
        <v>115437.88330209558</v>
      </c>
      <c r="AE16" s="4">
        <f>IF('Rhaniad y Ddeiliadaeth (Cymru)'!$D$18="Data Cofrestrfa Tir",'Prisiau Tai (Gogledd)'!F16,'Prisiau Tai (Gogledd)'!X16)</f>
        <v>117922.61217197184</v>
      </c>
      <c r="AF16" s="4">
        <f>IF('Rhaniad y Ddeiliadaeth (Cymru)'!$D$18="Data Cofrestrfa Tir",'Prisiau Tai (Gogledd)'!G16,'Prisiau Tai (Gogledd)'!Y16)</f>
        <v>122521.49599651048</v>
      </c>
      <c r="AG16" s="4">
        <f>IF('Rhaniad y Ddeiliadaeth (Cymru)'!$D$18="Data Cofrestrfa Tir",'Prisiau Tai (Gogledd)'!H16,'Prisiau Tai (Gogledd)'!Z16)</f>
        <v>127603.6783268523</v>
      </c>
    </row>
    <row r="17" spans="2:33" x14ac:dyDescent="0.25">
      <c r="B17" s="20">
        <v>23</v>
      </c>
      <c r="C17" s="56">
        <v>114000</v>
      </c>
      <c r="D17" s="57">
        <f>C17*(1+'Rhaniad y Ddeiliadaeth (Gog)'!C$118)</f>
        <v>117238.23672341277</v>
      </c>
      <c r="E17" s="57">
        <f>D17*(1+'Rhaniad y Ddeiliadaeth (Gog)'!D$118)</f>
        <v>117499.27407534729</v>
      </c>
      <c r="F17" s="57">
        <f>E17*(1+'Rhaniad y Ddeiliadaeth (Gog)'!E$118)</f>
        <v>120028.3731036142</v>
      </c>
      <c r="G17" s="57">
        <f>F17*(1+'Rhaniad y Ddeiliadaeth (Gog)'!F$118)</f>
        <v>124709.37985359103</v>
      </c>
      <c r="H17" s="57">
        <f>G17*(1+'Rhaniad y Ddeiliadaeth (Gog)'!G$118)</f>
        <v>129882.31543983181</v>
      </c>
      <c r="L17" s="62" t="str">
        <f t="shared" si="0"/>
        <v/>
      </c>
      <c r="M17" s="239"/>
      <c r="N17" s="14">
        <f t="shared" si="3"/>
        <v>1</v>
      </c>
      <c r="T17" s="1">
        <f t="shared" si="1"/>
        <v>23</v>
      </c>
      <c r="U17" s="4" t="str">
        <f t="shared" si="2"/>
        <v/>
      </c>
      <c r="V17" s="4" t="e">
        <f>IF($V$3=$M$3,M17,U17*(1+'Rhaniad y Ddeiliadaeth (Cymru)'!C$118))</f>
        <v>#VALUE!</v>
      </c>
      <c r="W17" s="4" t="e">
        <f>V17*(1+'Rhaniad y Ddeiliadaeth (Cymru)'!D$118)</f>
        <v>#VALUE!</v>
      </c>
      <c r="X17" s="4" t="e">
        <f>W17*(1+'Rhaniad y Ddeiliadaeth (Cymru)'!E$118)</f>
        <v>#VALUE!</v>
      </c>
      <c r="Y17" s="4" t="e">
        <f>X17*(1+'Rhaniad y Ddeiliadaeth (Cymru)'!F$118)</f>
        <v>#VALUE!</v>
      </c>
      <c r="Z17" s="4" t="e">
        <f>Y17*(1+'Rhaniad y Ddeiliadaeth (Cymru)'!G$118)</f>
        <v>#VALUE!</v>
      </c>
      <c r="AB17" s="1">
        <v>23</v>
      </c>
      <c r="AC17" s="4">
        <f>IF('Rhaniad y Ddeiliadaeth (Cymru)'!$D$18="Data Cofrestrfa Tir",'Prisiau Tai (Gogledd)'!D17,'Prisiau Tai (Gogledd)'!V17)</f>
        <v>117238.23672341277</v>
      </c>
      <c r="AD17" s="4">
        <f>IF('Rhaniad y Ddeiliadaeth (Cymru)'!$D$18="Data Cofrestrfa Tir",'Prisiau Tai (Gogledd)'!E17,'Prisiau Tai (Gogledd)'!W17)</f>
        <v>117499.27407534729</v>
      </c>
      <c r="AE17" s="4">
        <f>IF('Rhaniad y Ddeiliadaeth (Cymru)'!$D$18="Data Cofrestrfa Tir",'Prisiau Tai (Gogledd)'!F17,'Prisiau Tai (Gogledd)'!X17)</f>
        <v>120028.3731036142</v>
      </c>
      <c r="AF17" s="4">
        <f>IF('Rhaniad y Ddeiliadaeth (Cymru)'!$D$18="Data Cofrestrfa Tir",'Prisiau Tai (Gogledd)'!G17,'Prisiau Tai (Gogledd)'!Y17)</f>
        <v>124709.37985359103</v>
      </c>
      <c r="AG17" s="4">
        <f>IF('Rhaniad y Ddeiliadaeth (Cymru)'!$D$18="Data Cofrestrfa Tir",'Prisiau Tai (Gogledd)'!H17,'Prisiau Tai (Gogledd)'!Z17)</f>
        <v>129882.31543983181</v>
      </c>
    </row>
    <row r="18" spans="2:33" x14ac:dyDescent="0.25">
      <c r="B18" s="20">
        <v>24</v>
      </c>
      <c r="C18" s="56">
        <v>115000</v>
      </c>
      <c r="D18" s="57">
        <f>C18*(1+'Rhaniad y Ddeiliadaeth (Gog)'!C$118)</f>
        <v>118266.64230870586</v>
      </c>
      <c r="E18" s="57">
        <f>D18*(1+'Rhaniad y Ddeiliadaeth (Gog)'!D$118)</f>
        <v>118529.96946197315</v>
      </c>
      <c r="F18" s="57">
        <f>E18*(1+'Rhaniad y Ddeiliadaeth (Gog)'!E$118)</f>
        <v>121081.25356943537</v>
      </c>
      <c r="G18" s="57">
        <f>F18*(1+'Rhaniad y Ddeiliadaeth (Gog)'!F$118)</f>
        <v>125803.3217821313</v>
      </c>
      <c r="H18" s="57">
        <f>G18*(1+'Rhaniad y Ddeiliadaeth (Gog)'!G$118)</f>
        <v>131021.63399632157</v>
      </c>
      <c r="L18" s="62" t="str">
        <f t="shared" si="0"/>
        <v/>
      </c>
      <c r="M18" s="239"/>
      <c r="N18" s="14">
        <f t="shared" si="3"/>
        <v>1</v>
      </c>
      <c r="T18" s="1">
        <f t="shared" si="1"/>
        <v>24</v>
      </c>
      <c r="U18" s="4" t="str">
        <f t="shared" si="2"/>
        <v/>
      </c>
      <c r="V18" s="4" t="e">
        <f>IF($V$3=$M$3,M18,U18*(1+'Rhaniad y Ddeiliadaeth (Cymru)'!C$118))</f>
        <v>#VALUE!</v>
      </c>
      <c r="W18" s="4" t="e">
        <f>V18*(1+'Rhaniad y Ddeiliadaeth (Cymru)'!D$118)</f>
        <v>#VALUE!</v>
      </c>
      <c r="X18" s="4" t="e">
        <f>W18*(1+'Rhaniad y Ddeiliadaeth (Cymru)'!E$118)</f>
        <v>#VALUE!</v>
      </c>
      <c r="Y18" s="4" t="e">
        <f>X18*(1+'Rhaniad y Ddeiliadaeth (Cymru)'!F$118)</f>
        <v>#VALUE!</v>
      </c>
      <c r="Z18" s="4" t="e">
        <f>Y18*(1+'Rhaniad y Ddeiliadaeth (Cymru)'!G$118)</f>
        <v>#VALUE!</v>
      </c>
      <c r="AB18" s="1">
        <v>24</v>
      </c>
      <c r="AC18" s="4">
        <f>IF('Rhaniad y Ddeiliadaeth (Cymru)'!$D$18="Data Cofrestrfa Tir",'Prisiau Tai (Gogledd)'!D18,'Prisiau Tai (Gogledd)'!V18)</f>
        <v>118266.64230870586</v>
      </c>
      <c r="AD18" s="4">
        <f>IF('Rhaniad y Ddeiliadaeth (Cymru)'!$D$18="Data Cofrestrfa Tir",'Prisiau Tai (Gogledd)'!E18,'Prisiau Tai (Gogledd)'!W18)</f>
        <v>118529.96946197315</v>
      </c>
      <c r="AE18" s="4">
        <f>IF('Rhaniad y Ddeiliadaeth (Cymru)'!$D$18="Data Cofrestrfa Tir",'Prisiau Tai (Gogledd)'!F18,'Prisiau Tai (Gogledd)'!X18)</f>
        <v>121081.25356943537</v>
      </c>
      <c r="AF18" s="4">
        <f>IF('Rhaniad y Ddeiliadaeth (Cymru)'!$D$18="Data Cofrestrfa Tir",'Prisiau Tai (Gogledd)'!G18,'Prisiau Tai (Gogledd)'!Y18)</f>
        <v>125803.3217821313</v>
      </c>
      <c r="AG18" s="4">
        <f>IF('Rhaniad y Ddeiliadaeth (Cymru)'!$D$18="Data Cofrestrfa Tir",'Prisiau Tai (Gogledd)'!H18,'Prisiau Tai (Gogledd)'!Z18)</f>
        <v>131021.63399632157</v>
      </c>
    </row>
    <row r="19" spans="2:33" x14ac:dyDescent="0.25">
      <c r="B19" s="20">
        <v>25</v>
      </c>
      <c r="C19" s="56">
        <v>116500</v>
      </c>
      <c r="D19" s="57">
        <f>C19*(1+'Rhaniad y Ddeiliadaeth (Gog)'!C$118)</f>
        <v>119809.25068664551</v>
      </c>
      <c r="E19" s="57">
        <f>D19*(1+'Rhaniad y Ddeiliadaeth (Gog)'!D$118)</f>
        <v>120076.01254191193</v>
      </c>
      <c r="F19" s="57">
        <f>E19*(1+'Rhaniad y Ddeiliadaeth (Gog)'!E$118)</f>
        <v>122660.57426816714</v>
      </c>
      <c r="G19" s="57">
        <f>F19*(1+'Rhaniad y Ddeiliadaeth (Gog)'!F$118)</f>
        <v>127444.23467494172</v>
      </c>
      <c r="H19" s="57">
        <f>G19*(1+'Rhaniad y Ddeiliadaeth (Gog)'!G$118)</f>
        <v>132730.61183105622</v>
      </c>
      <c r="L19" s="62" t="str">
        <f t="shared" si="0"/>
        <v/>
      </c>
      <c r="M19" s="239"/>
      <c r="N19" s="14">
        <f t="shared" si="3"/>
        <v>1</v>
      </c>
      <c r="T19" s="1">
        <f t="shared" si="1"/>
        <v>25</v>
      </c>
      <c r="U19" s="4" t="str">
        <f t="shared" si="2"/>
        <v/>
      </c>
      <c r="V19" s="4" t="e">
        <f>IF($V$3=$M$3,M19,U19*(1+'Rhaniad y Ddeiliadaeth (Cymru)'!C$118))</f>
        <v>#VALUE!</v>
      </c>
      <c r="W19" s="4" t="e">
        <f>V19*(1+'Rhaniad y Ddeiliadaeth (Cymru)'!D$118)</f>
        <v>#VALUE!</v>
      </c>
      <c r="X19" s="4" t="e">
        <f>W19*(1+'Rhaniad y Ddeiliadaeth (Cymru)'!E$118)</f>
        <v>#VALUE!</v>
      </c>
      <c r="Y19" s="4" t="e">
        <f>X19*(1+'Rhaniad y Ddeiliadaeth (Cymru)'!F$118)</f>
        <v>#VALUE!</v>
      </c>
      <c r="Z19" s="4" t="e">
        <f>Y19*(1+'Rhaniad y Ddeiliadaeth (Cymru)'!G$118)</f>
        <v>#VALUE!</v>
      </c>
      <c r="AB19" s="1">
        <v>25</v>
      </c>
      <c r="AC19" s="4">
        <f>IF('Rhaniad y Ddeiliadaeth (Cymru)'!$D$18="Data Cofrestrfa Tir",'Prisiau Tai (Gogledd)'!D19,'Prisiau Tai (Gogledd)'!V19)</f>
        <v>119809.25068664551</v>
      </c>
      <c r="AD19" s="4">
        <f>IF('Rhaniad y Ddeiliadaeth (Cymru)'!$D$18="Data Cofrestrfa Tir",'Prisiau Tai (Gogledd)'!E19,'Prisiau Tai (Gogledd)'!W19)</f>
        <v>120076.01254191193</v>
      </c>
      <c r="AE19" s="4">
        <f>IF('Rhaniad y Ddeiliadaeth (Cymru)'!$D$18="Data Cofrestrfa Tir",'Prisiau Tai (Gogledd)'!F19,'Prisiau Tai (Gogledd)'!X19)</f>
        <v>122660.57426816714</v>
      </c>
      <c r="AF19" s="4">
        <f>IF('Rhaniad y Ddeiliadaeth (Cymru)'!$D$18="Data Cofrestrfa Tir",'Prisiau Tai (Gogledd)'!G19,'Prisiau Tai (Gogledd)'!Y19)</f>
        <v>127444.23467494172</v>
      </c>
      <c r="AG19" s="4">
        <f>IF('Rhaniad y Ddeiliadaeth (Cymru)'!$D$18="Data Cofrestrfa Tir",'Prisiau Tai (Gogledd)'!H19,'Prisiau Tai (Gogledd)'!Z19)</f>
        <v>132730.61183105622</v>
      </c>
    </row>
    <row r="20" spans="2:33" x14ac:dyDescent="0.25">
      <c r="B20" s="20">
        <v>26</v>
      </c>
      <c r="C20" s="56">
        <v>118000</v>
      </c>
      <c r="D20" s="57">
        <f>C20*(1+'Rhaniad y Ddeiliadaeth (Gog)'!C$118)</f>
        <v>121351.85906458515</v>
      </c>
      <c r="E20" s="57">
        <f>D20*(1+'Rhaniad y Ddeiliadaeth (Gog)'!D$118)</f>
        <v>121622.05562185071</v>
      </c>
      <c r="F20" s="57">
        <f>E20*(1+'Rhaniad y Ddeiliadaeth (Gog)'!E$118)</f>
        <v>124239.89496689891</v>
      </c>
      <c r="G20" s="57">
        <f>F20*(1+'Rhaniad y Ddeiliadaeth (Gog)'!F$118)</f>
        <v>129085.14756775212</v>
      </c>
      <c r="H20" s="57">
        <f>G20*(1+'Rhaniad y Ddeiliadaeth (Gog)'!G$118)</f>
        <v>134439.58966579085</v>
      </c>
      <c r="L20" s="62" t="str">
        <f t="shared" si="0"/>
        <v/>
      </c>
      <c r="M20" s="239"/>
      <c r="N20" s="14">
        <f t="shared" si="3"/>
        <v>1</v>
      </c>
      <c r="T20" s="1">
        <f t="shared" si="1"/>
        <v>26</v>
      </c>
      <c r="U20" s="4" t="str">
        <f t="shared" si="2"/>
        <v/>
      </c>
      <c r="V20" s="4" t="e">
        <f>IF($V$3=$M$3,M20,U20*(1+'Rhaniad y Ddeiliadaeth (Cymru)'!C$118))</f>
        <v>#VALUE!</v>
      </c>
      <c r="W20" s="4" t="e">
        <f>V20*(1+'Rhaniad y Ddeiliadaeth (Cymru)'!D$118)</f>
        <v>#VALUE!</v>
      </c>
      <c r="X20" s="4" t="e">
        <f>W20*(1+'Rhaniad y Ddeiliadaeth (Cymru)'!E$118)</f>
        <v>#VALUE!</v>
      </c>
      <c r="Y20" s="4" t="e">
        <f>X20*(1+'Rhaniad y Ddeiliadaeth (Cymru)'!F$118)</f>
        <v>#VALUE!</v>
      </c>
      <c r="Z20" s="4" t="e">
        <f>Y20*(1+'Rhaniad y Ddeiliadaeth (Cymru)'!G$118)</f>
        <v>#VALUE!</v>
      </c>
      <c r="AB20" s="1">
        <v>26</v>
      </c>
      <c r="AC20" s="4">
        <f>IF('Rhaniad y Ddeiliadaeth (Cymru)'!$D$18="Data Cofrestrfa Tir",'Prisiau Tai (Gogledd)'!D20,'Prisiau Tai (Gogledd)'!V20)</f>
        <v>121351.85906458515</v>
      </c>
      <c r="AD20" s="4">
        <f>IF('Rhaniad y Ddeiliadaeth (Cymru)'!$D$18="Data Cofrestrfa Tir",'Prisiau Tai (Gogledd)'!E20,'Prisiau Tai (Gogledd)'!W20)</f>
        <v>121622.05562185071</v>
      </c>
      <c r="AE20" s="4">
        <f>IF('Rhaniad y Ddeiliadaeth (Cymru)'!$D$18="Data Cofrestrfa Tir",'Prisiau Tai (Gogledd)'!F20,'Prisiau Tai (Gogledd)'!X20)</f>
        <v>124239.89496689891</v>
      </c>
      <c r="AF20" s="4">
        <f>IF('Rhaniad y Ddeiliadaeth (Cymru)'!$D$18="Data Cofrestrfa Tir",'Prisiau Tai (Gogledd)'!G20,'Prisiau Tai (Gogledd)'!Y20)</f>
        <v>129085.14756775212</v>
      </c>
      <c r="AG20" s="4">
        <f>IF('Rhaniad y Ddeiliadaeth (Cymru)'!$D$18="Data Cofrestrfa Tir",'Prisiau Tai (Gogledd)'!H20,'Prisiau Tai (Gogledd)'!Z20)</f>
        <v>134439.58966579085</v>
      </c>
    </row>
    <row r="21" spans="2:33" x14ac:dyDescent="0.25">
      <c r="B21" s="20">
        <v>27</v>
      </c>
      <c r="C21" s="56">
        <v>120000</v>
      </c>
      <c r="D21" s="57">
        <f>C21*(1+'Rhaniad y Ddeiliadaeth (Gog)'!C$118)</f>
        <v>123408.67023517133</v>
      </c>
      <c r="E21" s="57">
        <f>D21*(1+'Rhaniad y Ddeiliadaeth (Gog)'!D$118)</f>
        <v>123683.44639510241</v>
      </c>
      <c r="F21" s="57">
        <f>E21*(1+'Rhaniad y Ddeiliadaeth (Gog)'!E$118)</f>
        <v>126345.65589854126</v>
      </c>
      <c r="G21" s="57">
        <f>F21*(1+'Rhaniad y Ddeiliadaeth (Gog)'!F$118)</f>
        <v>131273.03142483268</v>
      </c>
      <c r="H21" s="57">
        <f>G21*(1+'Rhaniad y Ddeiliadaeth (Gog)'!G$118)</f>
        <v>136718.22677877033</v>
      </c>
      <c r="L21" s="62" t="str">
        <f t="shared" si="0"/>
        <v/>
      </c>
      <c r="M21" s="239"/>
      <c r="N21" s="14">
        <f t="shared" si="3"/>
        <v>1</v>
      </c>
      <c r="T21" s="1">
        <f t="shared" si="1"/>
        <v>27</v>
      </c>
      <c r="U21" s="4" t="str">
        <f t="shared" si="2"/>
        <v/>
      </c>
      <c r="V21" s="4" t="e">
        <f>IF($V$3=$M$3,M21,U21*(1+'Rhaniad y Ddeiliadaeth (Cymru)'!C$118))</f>
        <v>#VALUE!</v>
      </c>
      <c r="W21" s="4" t="e">
        <f>V21*(1+'Rhaniad y Ddeiliadaeth (Cymru)'!D$118)</f>
        <v>#VALUE!</v>
      </c>
      <c r="X21" s="4" t="e">
        <f>W21*(1+'Rhaniad y Ddeiliadaeth (Cymru)'!E$118)</f>
        <v>#VALUE!</v>
      </c>
      <c r="Y21" s="4" t="e">
        <f>X21*(1+'Rhaniad y Ddeiliadaeth (Cymru)'!F$118)</f>
        <v>#VALUE!</v>
      </c>
      <c r="Z21" s="4" t="e">
        <f>Y21*(1+'Rhaniad y Ddeiliadaeth (Cymru)'!G$118)</f>
        <v>#VALUE!</v>
      </c>
      <c r="AB21" s="1">
        <v>27</v>
      </c>
      <c r="AC21" s="4">
        <f>IF('Rhaniad y Ddeiliadaeth (Cymru)'!$D$18="Data Cofrestrfa Tir",'Prisiau Tai (Gogledd)'!D21,'Prisiau Tai (Gogledd)'!V21)</f>
        <v>123408.67023517133</v>
      </c>
      <c r="AD21" s="4">
        <f>IF('Rhaniad y Ddeiliadaeth (Cymru)'!$D$18="Data Cofrestrfa Tir",'Prisiau Tai (Gogledd)'!E21,'Prisiau Tai (Gogledd)'!W21)</f>
        <v>123683.44639510241</v>
      </c>
      <c r="AE21" s="4">
        <f>IF('Rhaniad y Ddeiliadaeth (Cymru)'!$D$18="Data Cofrestrfa Tir",'Prisiau Tai (Gogledd)'!F21,'Prisiau Tai (Gogledd)'!X21)</f>
        <v>126345.65589854126</v>
      </c>
      <c r="AF21" s="4">
        <f>IF('Rhaniad y Ddeiliadaeth (Cymru)'!$D$18="Data Cofrestrfa Tir",'Prisiau Tai (Gogledd)'!G21,'Prisiau Tai (Gogledd)'!Y21)</f>
        <v>131273.03142483268</v>
      </c>
      <c r="AG21" s="4">
        <f>IF('Rhaniad y Ddeiliadaeth (Cymru)'!$D$18="Data Cofrestrfa Tir",'Prisiau Tai (Gogledd)'!H21,'Prisiau Tai (Gogledd)'!Z21)</f>
        <v>136718.22677877033</v>
      </c>
    </row>
    <row r="22" spans="2:33" x14ac:dyDescent="0.25">
      <c r="B22" s="20">
        <v>28</v>
      </c>
      <c r="C22" s="56">
        <v>120000</v>
      </c>
      <c r="D22" s="57">
        <f>C22*(1+'Rhaniad y Ddeiliadaeth (Gog)'!C$118)</f>
        <v>123408.67023517133</v>
      </c>
      <c r="E22" s="57">
        <f>D22*(1+'Rhaniad y Ddeiliadaeth (Gog)'!D$118)</f>
        <v>123683.44639510241</v>
      </c>
      <c r="F22" s="57">
        <f>E22*(1+'Rhaniad y Ddeiliadaeth (Gog)'!E$118)</f>
        <v>126345.65589854126</v>
      </c>
      <c r="G22" s="57">
        <f>F22*(1+'Rhaniad y Ddeiliadaeth (Gog)'!F$118)</f>
        <v>131273.03142483268</v>
      </c>
      <c r="H22" s="57">
        <f>G22*(1+'Rhaniad y Ddeiliadaeth (Gog)'!G$118)</f>
        <v>136718.22677877033</v>
      </c>
      <c r="L22" s="62" t="str">
        <f t="shared" si="0"/>
        <v/>
      </c>
      <c r="M22" s="239"/>
      <c r="N22" s="14">
        <f t="shared" si="3"/>
        <v>1</v>
      </c>
      <c r="T22" s="1">
        <f t="shared" si="1"/>
        <v>28</v>
      </c>
      <c r="U22" s="4" t="str">
        <f t="shared" si="2"/>
        <v/>
      </c>
      <c r="V22" s="4" t="e">
        <f>IF($V$3=$M$3,M22,U22*(1+'Rhaniad y Ddeiliadaeth (Cymru)'!C$118))</f>
        <v>#VALUE!</v>
      </c>
      <c r="W22" s="4" t="e">
        <f>V22*(1+'Rhaniad y Ddeiliadaeth (Cymru)'!D$118)</f>
        <v>#VALUE!</v>
      </c>
      <c r="X22" s="4" t="e">
        <f>W22*(1+'Rhaniad y Ddeiliadaeth (Cymru)'!E$118)</f>
        <v>#VALUE!</v>
      </c>
      <c r="Y22" s="4" t="e">
        <f>X22*(1+'Rhaniad y Ddeiliadaeth (Cymru)'!F$118)</f>
        <v>#VALUE!</v>
      </c>
      <c r="Z22" s="4" t="e">
        <f>Y22*(1+'Rhaniad y Ddeiliadaeth (Cymru)'!G$118)</f>
        <v>#VALUE!</v>
      </c>
      <c r="AB22" s="1">
        <v>28</v>
      </c>
      <c r="AC22" s="4">
        <f>IF('Rhaniad y Ddeiliadaeth (Cymru)'!$D$18="Data Cofrestrfa Tir",'Prisiau Tai (Gogledd)'!D22,'Prisiau Tai (Gogledd)'!V22)</f>
        <v>123408.67023517133</v>
      </c>
      <c r="AD22" s="4">
        <f>IF('Rhaniad y Ddeiliadaeth (Cymru)'!$D$18="Data Cofrestrfa Tir",'Prisiau Tai (Gogledd)'!E22,'Prisiau Tai (Gogledd)'!W22)</f>
        <v>123683.44639510241</v>
      </c>
      <c r="AE22" s="4">
        <f>IF('Rhaniad y Ddeiliadaeth (Cymru)'!$D$18="Data Cofrestrfa Tir",'Prisiau Tai (Gogledd)'!F22,'Prisiau Tai (Gogledd)'!X22)</f>
        <v>126345.65589854126</v>
      </c>
      <c r="AF22" s="4">
        <f>IF('Rhaniad y Ddeiliadaeth (Cymru)'!$D$18="Data Cofrestrfa Tir",'Prisiau Tai (Gogledd)'!G22,'Prisiau Tai (Gogledd)'!Y22)</f>
        <v>131273.03142483268</v>
      </c>
      <c r="AG22" s="4">
        <f>IF('Rhaniad y Ddeiliadaeth (Cymru)'!$D$18="Data Cofrestrfa Tir",'Prisiau Tai (Gogledd)'!H22,'Prisiau Tai (Gogledd)'!Z22)</f>
        <v>136718.22677877033</v>
      </c>
    </row>
    <row r="23" spans="2:33" x14ac:dyDescent="0.25">
      <c r="B23" s="20">
        <v>29</v>
      </c>
      <c r="C23" s="56">
        <v>122000</v>
      </c>
      <c r="D23" s="57">
        <f>C23*(1+'Rhaniad y Ddeiliadaeth (Gog)'!C$118)</f>
        <v>125465.48140575753</v>
      </c>
      <c r="E23" s="57">
        <f>D23*(1+'Rhaniad y Ddeiliadaeth (Gog)'!D$118)</f>
        <v>125744.83716835412</v>
      </c>
      <c r="F23" s="57">
        <f>E23*(1+'Rhaniad y Ddeiliadaeth (Gog)'!E$118)</f>
        <v>128451.41683018362</v>
      </c>
      <c r="G23" s="57">
        <f>F23*(1+'Rhaniad y Ddeiliadaeth (Gog)'!F$118)</f>
        <v>133460.91528191321</v>
      </c>
      <c r="H23" s="57">
        <f>G23*(1+'Rhaniad y Ddeiliadaeth (Gog)'!G$118)</f>
        <v>138996.86389174985</v>
      </c>
      <c r="L23" s="62" t="str">
        <f t="shared" si="0"/>
        <v/>
      </c>
      <c r="M23" s="239"/>
      <c r="N23" s="14">
        <f t="shared" si="3"/>
        <v>1</v>
      </c>
      <c r="T23" s="1">
        <f t="shared" si="1"/>
        <v>29</v>
      </c>
      <c r="U23" s="4" t="str">
        <f t="shared" si="2"/>
        <v/>
      </c>
      <c r="V23" s="4" t="e">
        <f>IF($V$3=$M$3,M23,U23*(1+'Rhaniad y Ddeiliadaeth (Cymru)'!C$118))</f>
        <v>#VALUE!</v>
      </c>
      <c r="W23" s="4" t="e">
        <f>V23*(1+'Rhaniad y Ddeiliadaeth (Cymru)'!D$118)</f>
        <v>#VALUE!</v>
      </c>
      <c r="X23" s="4" t="e">
        <f>W23*(1+'Rhaniad y Ddeiliadaeth (Cymru)'!E$118)</f>
        <v>#VALUE!</v>
      </c>
      <c r="Y23" s="4" t="e">
        <f>X23*(1+'Rhaniad y Ddeiliadaeth (Cymru)'!F$118)</f>
        <v>#VALUE!</v>
      </c>
      <c r="Z23" s="4" t="e">
        <f>Y23*(1+'Rhaniad y Ddeiliadaeth (Cymru)'!G$118)</f>
        <v>#VALUE!</v>
      </c>
      <c r="AB23" s="1">
        <v>29</v>
      </c>
      <c r="AC23" s="4">
        <f>IF('Rhaniad y Ddeiliadaeth (Cymru)'!$D$18="Data Cofrestrfa Tir",'Prisiau Tai (Gogledd)'!D23,'Prisiau Tai (Gogledd)'!V23)</f>
        <v>125465.48140575753</v>
      </c>
      <c r="AD23" s="4">
        <f>IF('Rhaniad y Ddeiliadaeth (Cymru)'!$D$18="Data Cofrestrfa Tir",'Prisiau Tai (Gogledd)'!E23,'Prisiau Tai (Gogledd)'!W23)</f>
        <v>125744.83716835412</v>
      </c>
      <c r="AE23" s="4">
        <f>IF('Rhaniad y Ddeiliadaeth (Cymru)'!$D$18="Data Cofrestrfa Tir",'Prisiau Tai (Gogledd)'!F23,'Prisiau Tai (Gogledd)'!X23)</f>
        <v>128451.41683018362</v>
      </c>
      <c r="AF23" s="4">
        <f>IF('Rhaniad y Ddeiliadaeth (Cymru)'!$D$18="Data Cofrestrfa Tir",'Prisiau Tai (Gogledd)'!G23,'Prisiau Tai (Gogledd)'!Y23)</f>
        <v>133460.91528191321</v>
      </c>
      <c r="AG23" s="4">
        <f>IF('Rhaniad y Ddeiliadaeth (Cymru)'!$D$18="Data Cofrestrfa Tir",'Prisiau Tai (Gogledd)'!H23,'Prisiau Tai (Gogledd)'!Z23)</f>
        <v>138996.86389174985</v>
      </c>
    </row>
    <row r="24" spans="2:33" x14ac:dyDescent="0.25">
      <c r="B24" s="20">
        <v>30</v>
      </c>
      <c r="C24" s="56">
        <v>123500</v>
      </c>
      <c r="D24" s="57">
        <f>C24*(1+'Rhaniad y Ddeiliadaeth (Gog)'!C$118)</f>
        <v>127008.08978369717</v>
      </c>
      <c r="E24" s="57">
        <f>D24*(1+'Rhaniad y Ddeiliadaeth (Gog)'!D$118)</f>
        <v>127290.8802482929</v>
      </c>
      <c r="F24" s="57">
        <f>E24*(1+'Rhaniad y Ddeiliadaeth (Gog)'!E$118)</f>
        <v>130030.73752891539</v>
      </c>
      <c r="G24" s="57">
        <f>F24*(1+'Rhaniad y Ddeiliadaeth (Gog)'!F$118)</f>
        <v>135101.82817472363</v>
      </c>
      <c r="H24" s="57">
        <f>G24*(1+'Rhaniad y Ddeiliadaeth (Gog)'!G$118)</f>
        <v>140705.84172648448</v>
      </c>
      <c r="L24" s="62" t="str">
        <f t="shared" si="0"/>
        <v/>
      </c>
      <c r="M24" s="239"/>
      <c r="N24" s="14">
        <f t="shared" si="3"/>
        <v>1</v>
      </c>
      <c r="T24" s="1">
        <f t="shared" si="1"/>
        <v>30</v>
      </c>
      <c r="U24" s="4" t="str">
        <f t="shared" si="2"/>
        <v/>
      </c>
      <c r="V24" s="4" t="e">
        <f>IF($V$3=$M$3,M24,U24*(1+'Rhaniad y Ddeiliadaeth (Cymru)'!C$118))</f>
        <v>#VALUE!</v>
      </c>
      <c r="W24" s="4" t="e">
        <f>V24*(1+'Rhaniad y Ddeiliadaeth (Cymru)'!D$118)</f>
        <v>#VALUE!</v>
      </c>
      <c r="X24" s="4" t="e">
        <f>W24*(1+'Rhaniad y Ddeiliadaeth (Cymru)'!E$118)</f>
        <v>#VALUE!</v>
      </c>
      <c r="Y24" s="4" t="e">
        <f>X24*(1+'Rhaniad y Ddeiliadaeth (Cymru)'!F$118)</f>
        <v>#VALUE!</v>
      </c>
      <c r="Z24" s="4" t="e">
        <f>Y24*(1+'Rhaniad y Ddeiliadaeth (Cymru)'!G$118)</f>
        <v>#VALUE!</v>
      </c>
      <c r="AB24" s="1">
        <v>30</v>
      </c>
      <c r="AC24" s="4">
        <f>IF('Rhaniad y Ddeiliadaeth (Cymru)'!$D$18="Data Cofrestrfa Tir",'Prisiau Tai (Gogledd)'!D24,'Prisiau Tai (Gogledd)'!V24)</f>
        <v>127008.08978369717</v>
      </c>
      <c r="AD24" s="4">
        <f>IF('Rhaniad y Ddeiliadaeth (Cymru)'!$D$18="Data Cofrestrfa Tir",'Prisiau Tai (Gogledd)'!E24,'Prisiau Tai (Gogledd)'!W24)</f>
        <v>127290.8802482929</v>
      </c>
      <c r="AE24" s="4">
        <f>IF('Rhaniad y Ddeiliadaeth (Cymru)'!$D$18="Data Cofrestrfa Tir",'Prisiau Tai (Gogledd)'!F24,'Prisiau Tai (Gogledd)'!X24)</f>
        <v>130030.73752891539</v>
      </c>
      <c r="AF24" s="4">
        <f>IF('Rhaniad y Ddeiliadaeth (Cymru)'!$D$18="Data Cofrestrfa Tir",'Prisiau Tai (Gogledd)'!G24,'Prisiau Tai (Gogledd)'!Y24)</f>
        <v>135101.82817472363</v>
      </c>
      <c r="AG24" s="4">
        <f>IF('Rhaniad y Ddeiliadaeth (Cymru)'!$D$18="Data Cofrestrfa Tir",'Prisiau Tai (Gogledd)'!H24,'Prisiau Tai (Gogledd)'!Z24)</f>
        <v>140705.84172648448</v>
      </c>
    </row>
    <row r="25" spans="2:33" x14ac:dyDescent="0.25">
      <c r="B25" s="20">
        <v>31</v>
      </c>
      <c r="C25" s="56">
        <v>125000</v>
      </c>
      <c r="D25" s="57">
        <f>C25*(1+'Rhaniad y Ddeiliadaeth (Gog)'!C$118)</f>
        <v>128550.6981616368</v>
      </c>
      <c r="E25" s="57">
        <f>D25*(1+'Rhaniad y Ddeiliadaeth (Gog)'!D$118)</f>
        <v>128836.92332823167</v>
      </c>
      <c r="F25" s="57">
        <f>E25*(1+'Rhaniad y Ddeiliadaeth (Gog)'!E$118)</f>
        <v>131610.05822764715</v>
      </c>
      <c r="G25" s="57">
        <f>F25*(1+'Rhaniad y Ddeiliadaeth (Gog)'!F$118)</f>
        <v>136742.74106753402</v>
      </c>
      <c r="H25" s="57">
        <f>G25*(1+'Rhaniad y Ddeiliadaeth (Gog)'!G$118)</f>
        <v>142414.8195612191</v>
      </c>
      <c r="L25" s="62" t="str">
        <f t="shared" si="0"/>
        <v/>
      </c>
      <c r="M25" s="239"/>
      <c r="N25" s="14">
        <f t="shared" si="3"/>
        <v>1</v>
      </c>
      <c r="T25" s="1">
        <f t="shared" si="1"/>
        <v>31</v>
      </c>
      <c r="U25" s="4" t="str">
        <f t="shared" si="2"/>
        <v/>
      </c>
      <c r="V25" s="4" t="e">
        <f>IF($V$3=$M$3,M25,U25*(1+'Rhaniad y Ddeiliadaeth (Cymru)'!C$118))</f>
        <v>#VALUE!</v>
      </c>
      <c r="W25" s="4" t="e">
        <f>V25*(1+'Rhaniad y Ddeiliadaeth (Cymru)'!D$118)</f>
        <v>#VALUE!</v>
      </c>
      <c r="X25" s="4" t="e">
        <f>W25*(1+'Rhaniad y Ddeiliadaeth (Cymru)'!E$118)</f>
        <v>#VALUE!</v>
      </c>
      <c r="Y25" s="4" t="e">
        <f>X25*(1+'Rhaniad y Ddeiliadaeth (Cymru)'!F$118)</f>
        <v>#VALUE!</v>
      </c>
      <c r="Z25" s="4" t="e">
        <f>Y25*(1+'Rhaniad y Ddeiliadaeth (Cymru)'!G$118)</f>
        <v>#VALUE!</v>
      </c>
      <c r="AB25" s="1">
        <v>31</v>
      </c>
      <c r="AC25" s="4">
        <f>IF('Rhaniad y Ddeiliadaeth (Cymru)'!$D$18="Data Cofrestrfa Tir",'Prisiau Tai (Gogledd)'!D25,'Prisiau Tai (Gogledd)'!V25)</f>
        <v>128550.6981616368</v>
      </c>
      <c r="AD25" s="4">
        <f>IF('Rhaniad y Ddeiliadaeth (Cymru)'!$D$18="Data Cofrestrfa Tir",'Prisiau Tai (Gogledd)'!E25,'Prisiau Tai (Gogledd)'!W25)</f>
        <v>128836.92332823167</v>
      </c>
      <c r="AE25" s="4">
        <f>IF('Rhaniad y Ddeiliadaeth (Cymru)'!$D$18="Data Cofrestrfa Tir",'Prisiau Tai (Gogledd)'!F25,'Prisiau Tai (Gogledd)'!X25)</f>
        <v>131610.05822764715</v>
      </c>
      <c r="AF25" s="4">
        <f>IF('Rhaniad y Ddeiliadaeth (Cymru)'!$D$18="Data Cofrestrfa Tir",'Prisiau Tai (Gogledd)'!G25,'Prisiau Tai (Gogledd)'!Y25)</f>
        <v>136742.74106753402</v>
      </c>
      <c r="AG25" s="4">
        <f>IF('Rhaniad y Ddeiliadaeth (Cymru)'!$D$18="Data Cofrestrfa Tir",'Prisiau Tai (Gogledd)'!H25,'Prisiau Tai (Gogledd)'!Z25)</f>
        <v>142414.8195612191</v>
      </c>
    </row>
    <row r="26" spans="2:33" x14ac:dyDescent="0.25">
      <c r="B26" s="20">
        <v>32</v>
      </c>
      <c r="C26" s="56">
        <v>125000</v>
      </c>
      <c r="D26" s="57">
        <f>C26*(1+'Rhaniad y Ddeiliadaeth (Gog)'!C$118)</f>
        <v>128550.6981616368</v>
      </c>
      <c r="E26" s="57">
        <f>D26*(1+'Rhaniad y Ddeiliadaeth (Gog)'!D$118)</f>
        <v>128836.92332823167</v>
      </c>
      <c r="F26" s="57">
        <f>E26*(1+'Rhaniad y Ddeiliadaeth (Gog)'!E$118)</f>
        <v>131610.05822764715</v>
      </c>
      <c r="G26" s="57">
        <f>F26*(1+'Rhaniad y Ddeiliadaeth (Gog)'!F$118)</f>
        <v>136742.74106753402</v>
      </c>
      <c r="H26" s="57">
        <f>G26*(1+'Rhaniad y Ddeiliadaeth (Gog)'!G$118)</f>
        <v>142414.8195612191</v>
      </c>
      <c r="L26" s="62" t="str">
        <f t="shared" si="0"/>
        <v/>
      </c>
      <c r="M26" s="239"/>
      <c r="N26" s="14">
        <f t="shared" si="3"/>
        <v>1</v>
      </c>
      <c r="T26" s="1">
        <f t="shared" si="1"/>
        <v>32</v>
      </c>
      <c r="U26" s="4" t="str">
        <f t="shared" si="2"/>
        <v/>
      </c>
      <c r="V26" s="4" t="e">
        <f>IF($V$3=$M$3,M26,U26*(1+'Rhaniad y Ddeiliadaeth (Cymru)'!C$118))</f>
        <v>#VALUE!</v>
      </c>
      <c r="W26" s="4" t="e">
        <f>V26*(1+'Rhaniad y Ddeiliadaeth (Cymru)'!D$118)</f>
        <v>#VALUE!</v>
      </c>
      <c r="X26" s="4" t="e">
        <f>W26*(1+'Rhaniad y Ddeiliadaeth (Cymru)'!E$118)</f>
        <v>#VALUE!</v>
      </c>
      <c r="Y26" s="4" t="e">
        <f>X26*(1+'Rhaniad y Ddeiliadaeth (Cymru)'!F$118)</f>
        <v>#VALUE!</v>
      </c>
      <c r="Z26" s="4" t="e">
        <f>Y26*(1+'Rhaniad y Ddeiliadaeth (Cymru)'!G$118)</f>
        <v>#VALUE!</v>
      </c>
      <c r="AB26" s="1">
        <v>32</v>
      </c>
      <c r="AC26" s="4">
        <f>IF('Rhaniad y Ddeiliadaeth (Cymru)'!$D$18="Data Cofrestrfa Tir",'Prisiau Tai (Gogledd)'!D26,'Prisiau Tai (Gogledd)'!V26)</f>
        <v>128550.6981616368</v>
      </c>
      <c r="AD26" s="4">
        <f>IF('Rhaniad y Ddeiliadaeth (Cymru)'!$D$18="Data Cofrestrfa Tir",'Prisiau Tai (Gogledd)'!E26,'Prisiau Tai (Gogledd)'!W26)</f>
        <v>128836.92332823167</v>
      </c>
      <c r="AE26" s="4">
        <f>IF('Rhaniad y Ddeiliadaeth (Cymru)'!$D$18="Data Cofrestrfa Tir",'Prisiau Tai (Gogledd)'!F26,'Prisiau Tai (Gogledd)'!X26)</f>
        <v>131610.05822764715</v>
      </c>
      <c r="AF26" s="4">
        <f>IF('Rhaniad y Ddeiliadaeth (Cymru)'!$D$18="Data Cofrestrfa Tir",'Prisiau Tai (Gogledd)'!G26,'Prisiau Tai (Gogledd)'!Y26)</f>
        <v>136742.74106753402</v>
      </c>
      <c r="AG26" s="4">
        <f>IF('Rhaniad y Ddeiliadaeth (Cymru)'!$D$18="Data Cofrestrfa Tir",'Prisiau Tai (Gogledd)'!H26,'Prisiau Tai (Gogledd)'!Z26)</f>
        <v>142414.8195612191</v>
      </c>
    </row>
    <row r="27" spans="2:33" x14ac:dyDescent="0.25">
      <c r="B27" s="20">
        <v>33</v>
      </c>
      <c r="C27" s="56">
        <v>127000</v>
      </c>
      <c r="D27" s="57">
        <f>C27*(1+'Rhaniad y Ddeiliadaeth (Gog)'!C$118)</f>
        <v>130607.50933222299</v>
      </c>
      <c r="E27" s="57">
        <f>D27*(1+'Rhaniad y Ddeiliadaeth (Gog)'!D$118)</f>
        <v>130898.31410148338</v>
      </c>
      <c r="F27" s="57">
        <f>E27*(1+'Rhaniad y Ddeiliadaeth (Gog)'!E$118)</f>
        <v>133715.8191592895</v>
      </c>
      <c r="G27" s="57">
        <f>F27*(1+'Rhaniad y Ddeiliadaeth (Gog)'!F$118)</f>
        <v>138930.62492461456</v>
      </c>
      <c r="H27" s="57">
        <f>G27*(1+'Rhaniad y Ddeiliadaeth (Gog)'!G$118)</f>
        <v>144693.45667419859</v>
      </c>
      <c r="L27" s="62" t="str">
        <f t="shared" si="0"/>
        <v/>
      </c>
      <c r="M27" s="239"/>
      <c r="N27" s="14">
        <f t="shared" si="3"/>
        <v>1</v>
      </c>
      <c r="T27" s="1">
        <f t="shared" si="1"/>
        <v>33</v>
      </c>
      <c r="U27" s="4" t="str">
        <f t="shared" si="2"/>
        <v/>
      </c>
      <c r="V27" s="4" t="e">
        <f>IF($V$3=$M$3,M27,U27*(1+'Rhaniad y Ddeiliadaeth (Cymru)'!C$118))</f>
        <v>#VALUE!</v>
      </c>
      <c r="W27" s="4" t="e">
        <f>V27*(1+'Rhaniad y Ddeiliadaeth (Cymru)'!D$118)</f>
        <v>#VALUE!</v>
      </c>
      <c r="X27" s="4" t="e">
        <f>W27*(1+'Rhaniad y Ddeiliadaeth (Cymru)'!E$118)</f>
        <v>#VALUE!</v>
      </c>
      <c r="Y27" s="4" t="e">
        <f>X27*(1+'Rhaniad y Ddeiliadaeth (Cymru)'!F$118)</f>
        <v>#VALUE!</v>
      </c>
      <c r="Z27" s="4" t="e">
        <f>Y27*(1+'Rhaniad y Ddeiliadaeth (Cymru)'!G$118)</f>
        <v>#VALUE!</v>
      </c>
      <c r="AB27" s="1">
        <v>33</v>
      </c>
      <c r="AC27" s="4">
        <f>IF('Rhaniad y Ddeiliadaeth (Cymru)'!$D$18="Data Cofrestrfa Tir",'Prisiau Tai (Gogledd)'!D27,'Prisiau Tai (Gogledd)'!V27)</f>
        <v>130607.50933222299</v>
      </c>
      <c r="AD27" s="4">
        <f>IF('Rhaniad y Ddeiliadaeth (Cymru)'!$D$18="Data Cofrestrfa Tir",'Prisiau Tai (Gogledd)'!E27,'Prisiau Tai (Gogledd)'!W27)</f>
        <v>130898.31410148338</v>
      </c>
      <c r="AE27" s="4">
        <f>IF('Rhaniad y Ddeiliadaeth (Cymru)'!$D$18="Data Cofrestrfa Tir",'Prisiau Tai (Gogledd)'!F27,'Prisiau Tai (Gogledd)'!X27)</f>
        <v>133715.8191592895</v>
      </c>
      <c r="AF27" s="4">
        <f>IF('Rhaniad y Ddeiliadaeth (Cymru)'!$D$18="Data Cofrestrfa Tir",'Prisiau Tai (Gogledd)'!G27,'Prisiau Tai (Gogledd)'!Y27)</f>
        <v>138930.62492461456</v>
      </c>
      <c r="AG27" s="4">
        <f>IF('Rhaniad y Ddeiliadaeth (Cymru)'!$D$18="Data Cofrestrfa Tir",'Prisiau Tai (Gogledd)'!H27,'Prisiau Tai (Gogledd)'!Z27)</f>
        <v>144693.45667419859</v>
      </c>
    </row>
    <row r="28" spans="2:33" x14ac:dyDescent="0.25">
      <c r="B28" s="20">
        <v>34</v>
      </c>
      <c r="C28" s="56">
        <v>128500</v>
      </c>
      <c r="D28" s="57">
        <f>C28*(1+'Rhaniad y Ddeiliadaeth (Gog)'!C$118)</f>
        <v>132150.11771016262</v>
      </c>
      <c r="E28" s="57">
        <f>D28*(1+'Rhaniad y Ddeiliadaeth (Gog)'!D$118)</f>
        <v>132444.35718142215</v>
      </c>
      <c r="F28" s="57">
        <f>E28*(1+'Rhaniad y Ddeiliadaeth (Gog)'!E$118)</f>
        <v>135295.13985802126</v>
      </c>
      <c r="G28" s="57">
        <f>F28*(1+'Rhaniad y Ddeiliadaeth (Gog)'!F$118)</f>
        <v>140571.53781742498</v>
      </c>
      <c r="H28" s="57">
        <f>G28*(1+'Rhaniad y Ddeiliadaeth (Gog)'!G$118)</f>
        <v>146402.43450893322</v>
      </c>
      <c r="L28" s="62" t="str">
        <f t="shared" si="0"/>
        <v/>
      </c>
      <c r="M28" s="239"/>
      <c r="N28" s="14">
        <f t="shared" si="3"/>
        <v>1</v>
      </c>
      <c r="T28" s="1">
        <f t="shared" si="1"/>
        <v>34</v>
      </c>
      <c r="U28" s="4" t="str">
        <f t="shared" si="2"/>
        <v/>
      </c>
      <c r="V28" s="4" t="e">
        <f>IF($V$3=$M$3,M28,U28*(1+'Rhaniad y Ddeiliadaeth (Cymru)'!C$118))</f>
        <v>#VALUE!</v>
      </c>
      <c r="W28" s="4" t="e">
        <f>V28*(1+'Rhaniad y Ddeiliadaeth (Cymru)'!D$118)</f>
        <v>#VALUE!</v>
      </c>
      <c r="X28" s="4" t="e">
        <f>W28*(1+'Rhaniad y Ddeiliadaeth (Cymru)'!E$118)</f>
        <v>#VALUE!</v>
      </c>
      <c r="Y28" s="4" t="e">
        <f>X28*(1+'Rhaniad y Ddeiliadaeth (Cymru)'!F$118)</f>
        <v>#VALUE!</v>
      </c>
      <c r="Z28" s="4" t="e">
        <f>Y28*(1+'Rhaniad y Ddeiliadaeth (Cymru)'!G$118)</f>
        <v>#VALUE!</v>
      </c>
      <c r="AB28" s="1">
        <v>34</v>
      </c>
      <c r="AC28" s="4">
        <f>IF('Rhaniad y Ddeiliadaeth (Cymru)'!$D$18="Data Cofrestrfa Tir",'Prisiau Tai (Gogledd)'!D28,'Prisiau Tai (Gogledd)'!V28)</f>
        <v>132150.11771016262</v>
      </c>
      <c r="AD28" s="4">
        <f>IF('Rhaniad y Ddeiliadaeth (Cymru)'!$D$18="Data Cofrestrfa Tir",'Prisiau Tai (Gogledd)'!E28,'Prisiau Tai (Gogledd)'!W28)</f>
        <v>132444.35718142215</v>
      </c>
      <c r="AE28" s="4">
        <f>IF('Rhaniad y Ddeiliadaeth (Cymru)'!$D$18="Data Cofrestrfa Tir",'Prisiau Tai (Gogledd)'!F28,'Prisiau Tai (Gogledd)'!X28)</f>
        <v>135295.13985802126</v>
      </c>
      <c r="AF28" s="4">
        <f>IF('Rhaniad y Ddeiliadaeth (Cymru)'!$D$18="Data Cofrestrfa Tir",'Prisiau Tai (Gogledd)'!G28,'Prisiau Tai (Gogledd)'!Y28)</f>
        <v>140571.53781742498</v>
      </c>
      <c r="AG28" s="4">
        <f>IF('Rhaniad y Ddeiliadaeth (Cymru)'!$D$18="Data Cofrestrfa Tir",'Prisiau Tai (Gogledd)'!H28,'Prisiau Tai (Gogledd)'!Z28)</f>
        <v>146402.43450893322</v>
      </c>
    </row>
    <row r="29" spans="2:33" x14ac:dyDescent="0.25">
      <c r="B29" s="20">
        <v>35</v>
      </c>
      <c r="C29" s="56">
        <v>130000</v>
      </c>
      <c r="D29" s="57">
        <f>C29*(1+'Rhaniad y Ddeiliadaeth (Gog)'!C$118)</f>
        <v>133692.72608810227</v>
      </c>
      <c r="E29" s="57">
        <f>D29*(1+'Rhaniad y Ddeiliadaeth (Gog)'!D$118)</f>
        <v>133990.40026136092</v>
      </c>
      <c r="F29" s="57">
        <f>E29*(1+'Rhaniad y Ddeiliadaeth (Gog)'!E$118)</f>
        <v>136874.46055675301</v>
      </c>
      <c r="G29" s="57">
        <f>F29*(1+'Rhaniad y Ddeiliadaeth (Gog)'!F$118)</f>
        <v>142212.45071023537</v>
      </c>
      <c r="H29" s="57">
        <f>G29*(1+'Rhaniad y Ddeiliadaeth (Gog)'!G$118)</f>
        <v>148111.41234366785</v>
      </c>
      <c r="L29" s="62" t="str">
        <f t="shared" si="0"/>
        <v/>
      </c>
      <c r="M29" s="239"/>
      <c r="N29" s="14">
        <f t="shared" si="3"/>
        <v>1</v>
      </c>
      <c r="T29" s="1">
        <f t="shared" si="1"/>
        <v>35</v>
      </c>
      <c r="U29" s="4" t="str">
        <f t="shared" si="2"/>
        <v/>
      </c>
      <c r="V29" s="4" t="e">
        <f>IF($V$3=$M$3,M29,U29*(1+'Rhaniad y Ddeiliadaeth (Cymru)'!C$118))</f>
        <v>#VALUE!</v>
      </c>
      <c r="W29" s="4" t="e">
        <f>V29*(1+'Rhaniad y Ddeiliadaeth (Cymru)'!D$118)</f>
        <v>#VALUE!</v>
      </c>
      <c r="X29" s="4" t="e">
        <f>W29*(1+'Rhaniad y Ddeiliadaeth (Cymru)'!E$118)</f>
        <v>#VALUE!</v>
      </c>
      <c r="Y29" s="4" t="e">
        <f>X29*(1+'Rhaniad y Ddeiliadaeth (Cymru)'!F$118)</f>
        <v>#VALUE!</v>
      </c>
      <c r="Z29" s="4" t="e">
        <f>Y29*(1+'Rhaniad y Ddeiliadaeth (Cymru)'!G$118)</f>
        <v>#VALUE!</v>
      </c>
      <c r="AB29" s="1">
        <v>35</v>
      </c>
      <c r="AC29" s="4">
        <f>IF('Rhaniad y Ddeiliadaeth (Cymru)'!$D$18="Data Cofrestrfa Tir",'Prisiau Tai (Gogledd)'!D29,'Prisiau Tai (Gogledd)'!V29)</f>
        <v>133692.72608810227</v>
      </c>
      <c r="AD29" s="4">
        <f>IF('Rhaniad y Ddeiliadaeth (Cymru)'!$D$18="Data Cofrestrfa Tir",'Prisiau Tai (Gogledd)'!E29,'Prisiau Tai (Gogledd)'!W29)</f>
        <v>133990.40026136092</v>
      </c>
      <c r="AE29" s="4">
        <f>IF('Rhaniad y Ddeiliadaeth (Cymru)'!$D$18="Data Cofrestrfa Tir",'Prisiau Tai (Gogledd)'!F29,'Prisiau Tai (Gogledd)'!X29)</f>
        <v>136874.46055675301</v>
      </c>
      <c r="AF29" s="4">
        <f>IF('Rhaniad y Ddeiliadaeth (Cymru)'!$D$18="Data Cofrestrfa Tir",'Prisiau Tai (Gogledd)'!G29,'Prisiau Tai (Gogledd)'!Y29)</f>
        <v>142212.45071023537</v>
      </c>
      <c r="AG29" s="4">
        <f>IF('Rhaniad y Ddeiliadaeth (Cymru)'!$D$18="Data Cofrestrfa Tir",'Prisiau Tai (Gogledd)'!H29,'Prisiau Tai (Gogledd)'!Z29)</f>
        <v>148111.41234366785</v>
      </c>
    </row>
    <row r="30" spans="2:33" x14ac:dyDescent="0.25">
      <c r="B30" s="20">
        <v>36</v>
      </c>
      <c r="C30" s="56">
        <v>130500</v>
      </c>
      <c r="D30" s="57">
        <f>C30*(1+'Rhaniad y Ddeiliadaeth (Gog)'!C$118)</f>
        <v>134206.92888074883</v>
      </c>
      <c r="E30" s="57">
        <f>D30*(1+'Rhaniad y Ddeiliadaeth (Gog)'!D$118)</f>
        <v>134505.74795467386</v>
      </c>
      <c r="F30" s="57">
        <f>E30*(1+'Rhaniad y Ddeiliadaeth (Gog)'!E$118)</f>
        <v>137400.9007896636</v>
      </c>
      <c r="G30" s="57">
        <f>F30*(1+'Rhaniad y Ddeiliadaeth (Gog)'!F$118)</f>
        <v>142759.42167450552</v>
      </c>
      <c r="H30" s="57">
        <f>G30*(1+'Rhaniad y Ddeiliadaeth (Gog)'!G$118)</f>
        <v>148681.07162191274</v>
      </c>
      <c r="L30" s="62" t="str">
        <f t="shared" si="0"/>
        <v/>
      </c>
      <c r="M30" s="239"/>
      <c r="N30" s="14">
        <f t="shared" si="3"/>
        <v>1</v>
      </c>
      <c r="T30" s="1">
        <f t="shared" si="1"/>
        <v>36</v>
      </c>
      <c r="U30" s="4" t="str">
        <f t="shared" si="2"/>
        <v/>
      </c>
      <c r="V30" s="4" t="e">
        <f>IF($V$3=$M$3,M30,U30*(1+'Rhaniad y Ddeiliadaeth (Cymru)'!C$118))</f>
        <v>#VALUE!</v>
      </c>
      <c r="W30" s="4" t="e">
        <f>V30*(1+'Rhaniad y Ddeiliadaeth (Cymru)'!D$118)</f>
        <v>#VALUE!</v>
      </c>
      <c r="X30" s="4" t="e">
        <f>W30*(1+'Rhaniad y Ddeiliadaeth (Cymru)'!E$118)</f>
        <v>#VALUE!</v>
      </c>
      <c r="Y30" s="4" t="e">
        <f>X30*(1+'Rhaniad y Ddeiliadaeth (Cymru)'!F$118)</f>
        <v>#VALUE!</v>
      </c>
      <c r="Z30" s="4" t="e">
        <f>Y30*(1+'Rhaniad y Ddeiliadaeth (Cymru)'!G$118)</f>
        <v>#VALUE!</v>
      </c>
      <c r="AB30" s="1">
        <v>36</v>
      </c>
      <c r="AC30" s="4">
        <f>IF('Rhaniad y Ddeiliadaeth (Cymru)'!$D$18="Data Cofrestrfa Tir",'Prisiau Tai (Gogledd)'!D30,'Prisiau Tai (Gogledd)'!V30)</f>
        <v>134206.92888074883</v>
      </c>
      <c r="AD30" s="4">
        <f>IF('Rhaniad y Ddeiliadaeth (Cymru)'!$D$18="Data Cofrestrfa Tir",'Prisiau Tai (Gogledd)'!E30,'Prisiau Tai (Gogledd)'!W30)</f>
        <v>134505.74795467386</v>
      </c>
      <c r="AE30" s="4">
        <f>IF('Rhaniad y Ddeiliadaeth (Cymru)'!$D$18="Data Cofrestrfa Tir",'Prisiau Tai (Gogledd)'!F30,'Prisiau Tai (Gogledd)'!X30)</f>
        <v>137400.9007896636</v>
      </c>
      <c r="AF30" s="4">
        <f>IF('Rhaniad y Ddeiliadaeth (Cymru)'!$D$18="Data Cofrestrfa Tir",'Prisiau Tai (Gogledd)'!G30,'Prisiau Tai (Gogledd)'!Y30)</f>
        <v>142759.42167450552</v>
      </c>
      <c r="AG30" s="4">
        <f>IF('Rhaniad y Ddeiliadaeth (Cymru)'!$D$18="Data Cofrestrfa Tir",'Prisiau Tai (Gogledd)'!H30,'Prisiau Tai (Gogledd)'!Z30)</f>
        <v>148681.07162191274</v>
      </c>
    </row>
    <row r="31" spans="2:33" x14ac:dyDescent="0.25">
      <c r="B31" s="20">
        <v>37</v>
      </c>
      <c r="C31" s="56">
        <v>133000</v>
      </c>
      <c r="D31" s="57">
        <f>C31*(1+'Rhaniad y Ddeiliadaeth (Gog)'!C$118)</f>
        <v>136777.94284398155</v>
      </c>
      <c r="E31" s="57">
        <f>D31*(1+'Rhaniad y Ddeiliadaeth (Gog)'!D$118)</f>
        <v>137082.48642123849</v>
      </c>
      <c r="F31" s="57">
        <f>E31*(1+'Rhaniad y Ddeiliadaeth (Gog)'!E$118)</f>
        <v>140033.10195421654</v>
      </c>
      <c r="G31" s="57">
        <f>F31*(1+'Rhaniad y Ddeiliadaeth (Gog)'!F$118)</f>
        <v>145494.27649585617</v>
      </c>
      <c r="H31" s="57">
        <f>G31*(1+'Rhaniad y Ddeiliadaeth (Gog)'!G$118)</f>
        <v>151529.36801313708</v>
      </c>
      <c r="L31" s="62" t="str">
        <f t="shared" si="0"/>
        <v/>
      </c>
      <c r="M31" s="239"/>
      <c r="N31" s="14">
        <f t="shared" si="3"/>
        <v>1</v>
      </c>
      <c r="T31" s="1">
        <f t="shared" si="1"/>
        <v>37</v>
      </c>
      <c r="U31" s="4" t="str">
        <f t="shared" si="2"/>
        <v/>
      </c>
      <c r="V31" s="4" t="e">
        <f>IF($V$3=$M$3,M31,U31*(1+'Rhaniad y Ddeiliadaeth (Cymru)'!C$118))</f>
        <v>#VALUE!</v>
      </c>
      <c r="W31" s="4" t="e">
        <f>V31*(1+'Rhaniad y Ddeiliadaeth (Cymru)'!D$118)</f>
        <v>#VALUE!</v>
      </c>
      <c r="X31" s="4" t="e">
        <f>W31*(1+'Rhaniad y Ddeiliadaeth (Cymru)'!E$118)</f>
        <v>#VALUE!</v>
      </c>
      <c r="Y31" s="4" t="e">
        <f>X31*(1+'Rhaniad y Ddeiliadaeth (Cymru)'!F$118)</f>
        <v>#VALUE!</v>
      </c>
      <c r="Z31" s="4" t="e">
        <f>Y31*(1+'Rhaniad y Ddeiliadaeth (Cymru)'!G$118)</f>
        <v>#VALUE!</v>
      </c>
      <c r="AB31" s="1">
        <v>37</v>
      </c>
      <c r="AC31" s="4">
        <f>IF('Rhaniad y Ddeiliadaeth (Cymru)'!$D$18="Data Cofrestrfa Tir",'Prisiau Tai (Gogledd)'!D31,'Prisiau Tai (Gogledd)'!V31)</f>
        <v>136777.94284398155</v>
      </c>
      <c r="AD31" s="4">
        <f>IF('Rhaniad y Ddeiliadaeth (Cymru)'!$D$18="Data Cofrestrfa Tir",'Prisiau Tai (Gogledd)'!E31,'Prisiau Tai (Gogledd)'!W31)</f>
        <v>137082.48642123849</v>
      </c>
      <c r="AE31" s="4">
        <f>IF('Rhaniad y Ddeiliadaeth (Cymru)'!$D$18="Data Cofrestrfa Tir",'Prisiau Tai (Gogledd)'!F31,'Prisiau Tai (Gogledd)'!X31)</f>
        <v>140033.10195421654</v>
      </c>
      <c r="AF31" s="4">
        <f>IF('Rhaniad y Ddeiliadaeth (Cymru)'!$D$18="Data Cofrestrfa Tir",'Prisiau Tai (Gogledd)'!G31,'Prisiau Tai (Gogledd)'!Y31)</f>
        <v>145494.27649585617</v>
      </c>
      <c r="AG31" s="4">
        <f>IF('Rhaniad y Ddeiliadaeth (Cymru)'!$D$18="Data Cofrestrfa Tir",'Prisiau Tai (Gogledd)'!H31,'Prisiau Tai (Gogledd)'!Z31)</f>
        <v>151529.36801313708</v>
      </c>
    </row>
    <row r="32" spans="2:33" x14ac:dyDescent="0.25">
      <c r="B32" s="20">
        <v>38</v>
      </c>
      <c r="C32" s="56">
        <v>135000</v>
      </c>
      <c r="D32" s="57">
        <f>C32*(1+'Rhaniad y Ddeiliadaeth (Gog)'!C$118)</f>
        <v>138834.75401456776</v>
      </c>
      <c r="E32" s="57">
        <f>D32*(1+'Rhaniad y Ddeiliadaeth (Gog)'!D$118)</f>
        <v>139143.87719449023</v>
      </c>
      <c r="F32" s="57">
        <f>E32*(1+'Rhaniad y Ddeiliadaeth (Gog)'!E$118)</f>
        <v>142138.86288585892</v>
      </c>
      <c r="G32" s="57">
        <f>F32*(1+'Rhaniad y Ddeiliadaeth (Gog)'!F$118)</f>
        <v>147682.16035293674</v>
      </c>
      <c r="H32" s="57">
        <f>G32*(1+'Rhaniad y Ddeiliadaeth (Gog)'!G$118)</f>
        <v>153808.00512611662</v>
      </c>
      <c r="L32" s="62" t="str">
        <f t="shared" si="0"/>
        <v/>
      </c>
      <c r="M32" s="239"/>
      <c r="N32" s="14">
        <f t="shared" si="3"/>
        <v>1</v>
      </c>
      <c r="T32" s="1">
        <f t="shared" si="1"/>
        <v>38</v>
      </c>
      <c r="U32" s="4" t="str">
        <f t="shared" si="2"/>
        <v/>
      </c>
      <c r="V32" s="4" t="e">
        <f>IF($V$3=$M$3,M32,U32*(1+'Rhaniad y Ddeiliadaeth (Cymru)'!C$118))</f>
        <v>#VALUE!</v>
      </c>
      <c r="W32" s="4" t="e">
        <f>V32*(1+'Rhaniad y Ddeiliadaeth (Cymru)'!D$118)</f>
        <v>#VALUE!</v>
      </c>
      <c r="X32" s="4" t="e">
        <f>W32*(1+'Rhaniad y Ddeiliadaeth (Cymru)'!E$118)</f>
        <v>#VALUE!</v>
      </c>
      <c r="Y32" s="4" t="e">
        <f>X32*(1+'Rhaniad y Ddeiliadaeth (Cymru)'!F$118)</f>
        <v>#VALUE!</v>
      </c>
      <c r="Z32" s="4" t="e">
        <f>Y32*(1+'Rhaniad y Ddeiliadaeth (Cymru)'!G$118)</f>
        <v>#VALUE!</v>
      </c>
      <c r="AB32" s="1">
        <v>38</v>
      </c>
      <c r="AC32" s="4">
        <f>IF('Rhaniad y Ddeiliadaeth (Cymru)'!$D$18="Data Cofrestrfa Tir",'Prisiau Tai (Gogledd)'!D32,'Prisiau Tai (Gogledd)'!V32)</f>
        <v>138834.75401456776</v>
      </c>
      <c r="AD32" s="4">
        <f>IF('Rhaniad y Ddeiliadaeth (Cymru)'!$D$18="Data Cofrestrfa Tir",'Prisiau Tai (Gogledd)'!E32,'Prisiau Tai (Gogledd)'!W32)</f>
        <v>139143.87719449023</v>
      </c>
      <c r="AE32" s="4">
        <f>IF('Rhaniad y Ddeiliadaeth (Cymru)'!$D$18="Data Cofrestrfa Tir",'Prisiau Tai (Gogledd)'!F32,'Prisiau Tai (Gogledd)'!X32)</f>
        <v>142138.86288585892</v>
      </c>
      <c r="AF32" s="4">
        <f>IF('Rhaniad y Ddeiliadaeth (Cymru)'!$D$18="Data Cofrestrfa Tir",'Prisiau Tai (Gogledd)'!G32,'Prisiau Tai (Gogledd)'!Y32)</f>
        <v>147682.16035293674</v>
      </c>
      <c r="AG32" s="4">
        <f>IF('Rhaniad y Ddeiliadaeth (Cymru)'!$D$18="Data Cofrestrfa Tir",'Prisiau Tai (Gogledd)'!H32,'Prisiau Tai (Gogledd)'!Z32)</f>
        <v>153808.00512611662</v>
      </c>
    </row>
    <row r="33" spans="2:33" x14ac:dyDescent="0.25">
      <c r="B33" s="20">
        <v>39</v>
      </c>
      <c r="C33" s="56">
        <v>135000</v>
      </c>
      <c r="D33" s="57">
        <f>C33*(1+'Rhaniad y Ddeiliadaeth (Gog)'!C$118)</f>
        <v>138834.75401456776</v>
      </c>
      <c r="E33" s="57">
        <f>D33*(1+'Rhaniad y Ddeiliadaeth (Gog)'!D$118)</f>
        <v>139143.87719449023</v>
      </c>
      <c r="F33" s="57">
        <f>E33*(1+'Rhaniad y Ddeiliadaeth (Gog)'!E$118)</f>
        <v>142138.86288585892</v>
      </c>
      <c r="G33" s="57">
        <f>F33*(1+'Rhaniad y Ddeiliadaeth (Gog)'!F$118)</f>
        <v>147682.16035293674</v>
      </c>
      <c r="H33" s="57">
        <f>G33*(1+'Rhaniad y Ddeiliadaeth (Gog)'!G$118)</f>
        <v>153808.00512611662</v>
      </c>
      <c r="L33" s="62" t="str">
        <f t="shared" si="0"/>
        <v/>
      </c>
      <c r="M33" s="239"/>
      <c r="N33" s="14">
        <f t="shared" si="3"/>
        <v>1</v>
      </c>
      <c r="T33" s="1">
        <f t="shared" si="1"/>
        <v>39</v>
      </c>
      <c r="U33" s="4" t="str">
        <f t="shared" si="2"/>
        <v/>
      </c>
      <c r="V33" s="4" t="e">
        <f>IF($V$3=$M$3,M33,U33*(1+'Rhaniad y Ddeiliadaeth (Cymru)'!C$118))</f>
        <v>#VALUE!</v>
      </c>
      <c r="W33" s="4" t="e">
        <f>V33*(1+'Rhaniad y Ddeiliadaeth (Cymru)'!D$118)</f>
        <v>#VALUE!</v>
      </c>
      <c r="X33" s="4" t="e">
        <f>W33*(1+'Rhaniad y Ddeiliadaeth (Cymru)'!E$118)</f>
        <v>#VALUE!</v>
      </c>
      <c r="Y33" s="4" t="e">
        <f>X33*(1+'Rhaniad y Ddeiliadaeth (Cymru)'!F$118)</f>
        <v>#VALUE!</v>
      </c>
      <c r="Z33" s="4" t="e">
        <f>Y33*(1+'Rhaniad y Ddeiliadaeth (Cymru)'!G$118)</f>
        <v>#VALUE!</v>
      </c>
      <c r="AB33" s="1">
        <v>39</v>
      </c>
      <c r="AC33" s="4">
        <f>IF('Rhaniad y Ddeiliadaeth (Cymru)'!$D$18="Data Cofrestrfa Tir",'Prisiau Tai (Gogledd)'!D33,'Prisiau Tai (Gogledd)'!V33)</f>
        <v>138834.75401456776</v>
      </c>
      <c r="AD33" s="4">
        <f>IF('Rhaniad y Ddeiliadaeth (Cymru)'!$D$18="Data Cofrestrfa Tir",'Prisiau Tai (Gogledd)'!E33,'Prisiau Tai (Gogledd)'!W33)</f>
        <v>139143.87719449023</v>
      </c>
      <c r="AE33" s="4">
        <f>IF('Rhaniad y Ddeiliadaeth (Cymru)'!$D$18="Data Cofrestrfa Tir",'Prisiau Tai (Gogledd)'!F33,'Prisiau Tai (Gogledd)'!X33)</f>
        <v>142138.86288585892</v>
      </c>
      <c r="AF33" s="4">
        <f>IF('Rhaniad y Ddeiliadaeth (Cymru)'!$D$18="Data Cofrestrfa Tir",'Prisiau Tai (Gogledd)'!G33,'Prisiau Tai (Gogledd)'!Y33)</f>
        <v>147682.16035293674</v>
      </c>
      <c r="AG33" s="4">
        <f>IF('Rhaniad y Ddeiliadaeth (Cymru)'!$D$18="Data Cofrestrfa Tir",'Prisiau Tai (Gogledd)'!H33,'Prisiau Tai (Gogledd)'!Z33)</f>
        <v>153808.00512611662</v>
      </c>
    </row>
    <row r="34" spans="2:33" x14ac:dyDescent="0.25">
      <c r="B34" s="20">
        <v>40</v>
      </c>
      <c r="C34" s="56">
        <v>137080.00000000012</v>
      </c>
      <c r="D34" s="57">
        <f>C34*(1+'Rhaniad y Ddeiliadaeth (Gog)'!C$118)</f>
        <v>140973.83763197751</v>
      </c>
      <c r="E34" s="57">
        <f>D34*(1+'Rhaniad y Ddeiliadaeth (Gog)'!D$118)</f>
        <v>141287.72359867211</v>
      </c>
      <c r="F34" s="57">
        <f>E34*(1+'Rhaniad y Ddeiliadaeth (Gog)'!E$118)</f>
        <v>144328.85425476709</v>
      </c>
      <c r="G34" s="57">
        <f>F34*(1+'Rhaniad y Ddeiliadaeth (Gog)'!F$118)</f>
        <v>149957.55956430064</v>
      </c>
      <c r="H34" s="57">
        <f>G34*(1+'Rhaniad y Ddeiliadaeth (Gog)'!G$118)</f>
        <v>156177.78772361545</v>
      </c>
      <c r="L34" s="62" t="str">
        <f t="shared" si="0"/>
        <v/>
      </c>
      <c r="M34" s="239"/>
      <c r="N34" s="14">
        <f t="shared" si="3"/>
        <v>1</v>
      </c>
      <c r="T34" s="1">
        <f t="shared" si="1"/>
        <v>40</v>
      </c>
      <c r="U34" s="4" t="str">
        <f t="shared" si="2"/>
        <v/>
      </c>
      <c r="V34" s="4" t="e">
        <f>IF($V$3=$M$3,M34,U34*(1+'Rhaniad y Ddeiliadaeth (Cymru)'!C$118))</f>
        <v>#VALUE!</v>
      </c>
      <c r="W34" s="4" t="e">
        <f>V34*(1+'Rhaniad y Ddeiliadaeth (Cymru)'!D$118)</f>
        <v>#VALUE!</v>
      </c>
      <c r="X34" s="4" t="e">
        <f>W34*(1+'Rhaniad y Ddeiliadaeth (Cymru)'!E$118)</f>
        <v>#VALUE!</v>
      </c>
      <c r="Y34" s="4" t="e">
        <f>X34*(1+'Rhaniad y Ddeiliadaeth (Cymru)'!F$118)</f>
        <v>#VALUE!</v>
      </c>
      <c r="Z34" s="4" t="e">
        <f>Y34*(1+'Rhaniad y Ddeiliadaeth (Cymru)'!G$118)</f>
        <v>#VALUE!</v>
      </c>
      <c r="AB34" s="1">
        <v>40</v>
      </c>
      <c r="AC34" s="4">
        <f>IF('Rhaniad y Ddeiliadaeth (Cymru)'!$D$18="Data Cofrestrfa Tir",'Prisiau Tai (Gogledd)'!D34,'Prisiau Tai (Gogledd)'!V34)</f>
        <v>140973.83763197751</v>
      </c>
      <c r="AD34" s="4">
        <f>IF('Rhaniad y Ddeiliadaeth (Cymru)'!$D$18="Data Cofrestrfa Tir",'Prisiau Tai (Gogledd)'!E34,'Prisiau Tai (Gogledd)'!W34)</f>
        <v>141287.72359867211</v>
      </c>
      <c r="AE34" s="4">
        <f>IF('Rhaniad y Ddeiliadaeth (Cymru)'!$D$18="Data Cofrestrfa Tir",'Prisiau Tai (Gogledd)'!F34,'Prisiau Tai (Gogledd)'!X34)</f>
        <v>144328.85425476709</v>
      </c>
      <c r="AF34" s="4">
        <f>IF('Rhaniad y Ddeiliadaeth (Cymru)'!$D$18="Data Cofrestrfa Tir",'Prisiau Tai (Gogledd)'!G34,'Prisiau Tai (Gogledd)'!Y34)</f>
        <v>149957.55956430064</v>
      </c>
      <c r="AG34" s="4">
        <f>IF('Rhaniad y Ddeiliadaeth (Cymru)'!$D$18="Data Cofrestrfa Tir",'Prisiau Tai (Gogledd)'!H34,'Prisiau Tai (Gogledd)'!Z34)</f>
        <v>156177.78772361545</v>
      </c>
    </row>
    <row r="35" spans="2:33" x14ac:dyDescent="0.25">
      <c r="B35" s="20">
        <v>41</v>
      </c>
      <c r="C35" s="56">
        <v>139499.29999999999</v>
      </c>
      <c r="D35" s="57">
        <f>C35*(1+'Rhaniad y Ddeiliadaeth (Gog)'!C$118)</f>
        <v>143461.85926447695</v>
      </c>
      <c r="E35" s="57">
        <f>D35*(1+'Rhaniad y Ddeiliadaeth (Gog)'!D$118)</f>
        <v>143781.2849475359</v>
      </c>
      <c r="F35" s="57">
        <f>E35*(1+'Rhaniad y Ddeiliadaeth (Gog)'!E$118)</f>
        <v>146876.08796572813</v>
      </c>
      <c r="G35" s="57">
        <f>F35*(1+'Rhaniad y Ddeiliadaeth (Gog)'!F$118)</f>
        <v>152604.13327201799</v>
      </c>
      <c r="H35" s="57">
        <f>G35*(1+'Rhaniad y Ddeiliadaeth (Gog)'!G$118)</f>
        <v>158934.14110733097</v>
      </c>
      <c r="L35" s="62" t="str">
        <f t="shared" si="0"/>
        <v/>
      </c>
      <c r="M35" s="239"/>
      <c r="N35" s="14">
        <f t="shared" si="3"/>
        <v>1</v>
      </c>
      <c r="T35" s="1">
        <f t="shared" si="1"/>
        <v>41</v>
      </c>
      <c r="U35" s="4" t="str">
        <f t="shared" si="2"/>
        <v/>
      </c>
      <c r="V35" s="4" t="e">
        <f>IF($V$3=$M$3,M35,U35*(1+'Rhaniad y Ddeiliadaeth (Cymru)'!C$118))</f>
        <v>#VALUE!</v>
      </c>
      <c r="W35" s="4" t="e">
        <f>V35*(1+'Rhaniad y Ddeiliadaeth (Cymru)'!D$118)</f>
        <v>#VALUE!</v>
      </c>
      <c r="X35" s="4" t="e">
        <f>W35*(1+'Rhaniad y Ddeiliadaeth (Cymru)'!E$118)</f>
        <v>#VALUE!</v>
      </c>
      <c r="Y35" s="4" t="e">
        <f>X35*(1+'Rhaniad y Ddeiliadaeth (Cymru)'!F$118)</f>
        <v>#VALUE!</v>
      </c>
      <c r="Z35" s="4" t="e">
        <f>Y35*(1+'Rhaniad y Ddeiliadaeth (Cymru)'!G$118)</f>
        <v>#VALUE!</v>
      </c>
      <c r="AB35" s="1">
        <v>41</v>
      </c>
      <c r="AC35" s="4">
        <f>IF('Rhaniad y Ddeiliadaeth (Cymru)'!$D$18="Data Cofrestrfa Tir",'Prisiau Tai (Gogledd)'!D35,'Prisiau Tai (Gogledd)'!V35)</f>
        <v>143461.85926447695</v>
      </c>
      <c r="AD35" s="4">
        <f>IF('Rhaniad y Ddeiliadaeth (Cymru)'!$D$18="Data Cofrestrfa Tir",'Prisiau Tai (Gogledd)'!E35,'Prisiau Tai (Gogledd)'!W35)</f>
        <v>143781.2849475359</v>
      </c>
      <c r="AE35" s="4">
        <f>IF('Rhaniad y Ddeiliadaeth (Cymru)'!$D$18="Data Cofrestrfa Tir",'Prisiau Tai (Gogledd)'!F35,'Prisiau Tai (Gogledd)'!X35)</f>
        <v>146876.08796572813</v>
      </c>
      <c r="AF35" s="4">
        <f>IF('Rhaniad y Ddeiliadaeth (Cymru)'!$D$18="Data Cofrestrfa Tir",'Prisiau Tai (Gogledd)'!G35,'Prisiau Tai (Gogledd)'!Y35)</f>
        <v>152604.13327201799</v>
      </c>
      <c r="AG35" s="4">
        <f>IF('Rhaniad y Ddeiliadaeth (Cymru)'!$D$18="Data Cofrestrfa Tir",'Prisiau Tai (Gogledd)'!H35,'Prisiau Tai (Gogledd)'!Z35)</f>
        <v>158934.14110733097</v>
      </c>
    </row>
    <row r="36" spans="2:33" x14ac:dyDescent="0.25">
      <c r="B36" s="20">
        <v>42</v>
      </c>
      <c r="C36" s="56">
        <v>140000</v>
      </c>
      <c r="D36" s="57">
        <f>C36*(1+'Rhaniad y Ddeiliadaeth (Gog)'!C$118)</f>
        <v>143976.78194103323</v>
      </c>
      <c r="E36" s="57">
        <f>D36*(1+'Rhaniad y Ddeiliadaeth (Gog)'!D$118)</f>
        <v>144297.35412761947</v>
      </c>
      <c r="F36" s="57">
        <f>E36*(1+'Rhaniad y Ddeiliadaeth (Gog)'!E$118)</f>
        <v>147403.26521496481</v>
      </c>
      <c r="G36" s="57">
        <f>F36*(1+'Rhaniad y Ddeiliadaeth (Gog)'!F$118)</f>
        <v>153151.86999563812</v>
      </c>
      <c r="H36" s="57">
        <f>G36*(1+'Rhaniad y Ddeiliadaeth (Gog)'!G$118)</f>
        <v>159504.5979085654</v>
      </c>
      <c r="L36" s="62" t="str">
        <f t="shared" si="0"/>
        <v/>
      </c>
      <c r="M36" s="239"/>
      <c r="N36" s="14">
        <f t="shared" si="3"/>
        <v>1</v>
      </c>
      <c r="T36" s="1">
        <f t="shared" si="1"/>
        <v>42</v>
      </c>
      <c r="U36" s="4" t="str">
        <f t="shared" si="2"/>
        <v/>
      </c>
      <c r="V36" s="4" t="e">
        <f>IF($V$3=$M$3,M36,U36*(1+'Rhaniad y Ddeiliadaeth (Cymru)'!C$118))</f>
        <v>#VALUE!</v>
      </c>
      <c r="W36" s="4" t="e">
        <f>V36*(1+'Rhaniad y Ddeiliadaeth (Cymru)'!D$118)</f>
        <v>#VALUE!</v>
      </c>
      <c r="X36" s="4" t="e">
        <f>W36*(1+'Rhaniad y Ddeiliadaeth (Cymru)'!E$118)</f>
        <v>#VALUE!</v>
      </c>
      <c r="Y36" s="4" t="e">
        <f>X36*(1+'Rhaniad y Ddeiliadaeth (Cymru)'!F$118)</f>
        <v>#VALUE!</v>
      </c>
      <c r="Z36" s="4" t="e">
        <f>Y36*(1+'Rhaniad y Ddeiliadaeth (Cymru)'!G$118)</f>
        <v>#VALUE!</v>
      </c>
      <c r="AB36" s="1">
        <v>42</v>
      </c>
      <c r="AC36" s="4">
        <f>IF('Rhaniad y Ddeiliadaeth (Cymru)'!$D$18="Data Cofrestrfa Tir",'Prisiau Tai (Gogledd)'!D36,'Prisiau Tai (Gogledd)'!V36)</f>
        <v>143976.78194103323</v>
      </c>
      <c r="AD36" s="4">
        <f>IF('Rhaniad y Ddeiliadaeth (Cymru)'!$D$18="Data Cofrestrfa Tir",'Prisiau Tai (Gogledd)'!E36,'Prisiau Tai (Gogledd)'!W36)</f>
        <v>144297.35412761947</v>
      </c>
      <c r="AE36" s="4">
        <f>IF('Rhaniad y Ddeiliadaeth (Cymru)'!$D$18="Data Cofrestrfa Tir",'Prisiau Tai (Gogledd)'!F36,'Prisiau Tai (Gogledd)'!X36)</f>
        <v>147403.26521496481</v>
      </c>
      <c r="AF36" s="4">
        <f>IF('Rhaniad y Ddeiliadaeth (Cymru)'!$D$18="Data Cofrestrfa Tir",'Prisiau Tai (Gogledd)'!G36,'Prisiau Tai (Gogledd)'!Y36)</f>
        <v>153151.86999563812</v>
      </c>
      <c r="AG36" s="4">
        <f>IF('Rhaniad y Ddeiliadaeth (Cymru)'!$D$18="Data Cofrestrfa Tir",'Prisiau Tai (Gogledd)'!H36,'Prisiau Tai (Gogledd)'!Z36)</f>
        <v>159504.5979085654</v>
      </c>
    </row>
    <row r="37" spans="2:33" x14ac:dyDescent="0.25">
      <c r="B37" s="20">
        <v>43</v>
      </c>
      <c r="C37" s="56">
        <v>142000</v>
      </c>
      <c r="D37" s="57">
        <f>C37*(1+'Rhaniad y Ddeiliadaeth (Gog)'!C$118)</f>
        <v>146033.59311161941</v>
      </c>
      <c r="E37" s="57">
        <f>D37*(1+'Rhaniad y Ddeiliadaeth (Gog)'!D$118)</f>
        <v>146358.74490087118</v>
      </c>
      <c r="F37" s="57">
        <f>E37*(1+'Rhaniad y Ddeiliadaeth (Gog)'!E$118)</f>
        <v>149509.02614660715</v>
      </c>
      <c r="G37" s="57">
        <f>F37*(1+'Rhaniad y Ddeiliadaeth (Gog)'!F$118)</f>
        <v>155339.75385271866</v>
      </c>
      <c r="H37" s="57">
        <f>G37*(1+'Rhaniad y Ddeiliadaeth (Gog)'!G$118)</f>
        <v>161783.23502154491</v>
      </c>
      <c r="L37" s="62" t="str">
        <f t="shared" si="0"/>
        <v/>
      </c>
      <c r="M37" s="239"/>
      <c r="N37" s="14">
        <f t="shared" si="3"/>
        <v>1</v>
      </c>
      <c r="T37" s="1">
        <f t="shared" si="1"/>
        <v>43</v>
      </c>
      <c r="U37" s="4" t="str">
        <f t="shared" si="2"/>
        <v/>
      </c>
      <c r="V37" s="4" t="e">
        <f>IF($V$3=$M$3,M37,U37*(1+'Rhaniad y Ddeiliadaeth (Cymru)'!C$118))</f>
        <v>#VALUE!</v>
      </c>
      <c r="W37" s="4" t="e">
        <f>V37*(1+'Rhaniad y Ddeiliadaeth (Cymru)'!D$118)</f>
        <v>#VALUE!</v>
      </c>
      <c r="X37" s="4" t="e">
        <f>W37*(1+'Rhaniad y Ddeiliadaeth (Cymru)'!E$118)</f>
        <v>#VALUE!</v>
      </c>
      <c r="Y37" s="4" t="e">
        <f>X37*(1+'Rhaniad y Ddeiliadaeth (Cymru)'!F$118)</f>
        <v>#VALUE!</v>
      </c>
      <c r="Z37" s="4" t="e">
        <f>Y37*(1+'Rhaniad y Ddeiliadaeth (Cymru)'!G$118)</f>
        <v>#VALUE!</v>
      </c>
      <c r="AB37" s="1">
        <v>43</v>
      </c>
      <c r="AC37" s="4">
        <f>IF('Rhaniad y Ddeiliadaeth (Cymru)'!$D$18="Data Cofrestrfa Tir",'Prisiau Tai (Gogledd)'!D37,'Prisiau Tai (Gogledd)'!V37)</f>
        <v>146033.59311161941</v>
      </c>
      <c r="AD37" s="4">
        <f>IF('Rhaniad y Ddeiliadaeth (Cymru)'!$D$18="Data Cofrestrfa Tir",'Prisiau Tai (Gogledd)'!E37,'Prisiau Tai (Gogledd)'!W37)</f>
        <v>146358.74490087118</v>
      </c>
      <c r="AE37" s="4">
        <f>IF('Rhaniad y Ddeiliadaeth (Cymru)'!$D$18="Data Cofrestrfa Tir",'Prisiau Tai (Gogledd)'!F37,'Prisiau Tai (Gogledd)'!X37)</f>
        <v>149509.02614660715</v>
      </c>
      <c r="AF37" s="4">
        <f>IF('Rhaniad y Ddeiliadaeth (Cymru)'!$D$18="Data Cofrestrfa Tir",'Prisiau Tai (Gogledd)'!G37,'Prisiau Tai (Gogledd)'!Y37)</f>
        <v>155339.75385271866</v>
      </c>
      <c r="AG37" s="4">
        <f>IF('Rhaniad y Ddeiliadaeth (Cymru)'!$D$18="Data Cofrestrfa Tir",'Prisiau Tai (Gogledd)'!H37,'Prisiau Tai (Gogledd)'!Z37)</f>
        <v>161783.23502154491</v>
      </c>
    </row>
    <row r="38" spans="2:33" x14ac:dyDescent="0.25">
      <c r="B38" s="20">
        <v>44</v>
      </c>
      <c r="C38" s="56">
        <v>143950</v>
      </c>
      <c r="D38" s="57">
        <f>C38*(1+'Rhaniad y Ddeiliadaeth (Gog)'!C$118)</f>
        <v>148038.98400294094</v>
      </c>
      <c r="E38" s="57">
        <f>D38*(1+'Rhaniad y Ddeiliadaeth (Gog)'!D$118)</f>
        <v>148368.60090479159</v>
      </c>
      <c r="F38" s="57">
        <f>E38*(1+'Rhaniad y Ddeiliadaeth (Gog)'!E$118)</f>
        <v>151562.14305495843</v>
      </c>
      <c r="G38" s="57">
        <f>F38*(1+'Rhaniad y Ddeiliadaeth (Gog)'!F$118)</f>
        <v>157472.94061337216</v>
      </c>
      <c r="H38" s="57">
        <f>G38*(1+'Rhaniad y Ddeiliadaeth (Gog)'!G$118)</f>
        <v>164004.9062066999</v>
      </c>
      <c r="L38" s="62" t="str">
        <f t="shared" si="0"/>
        <v/>
      </c>
      <c r="M38" s="239"/>
      <c r="N38" s="14">
        <f t="shared" si="3"/>
        <v>1</v>
      </c>
      <c r="T38" s="1">
        <f t="shared" si="1"/>
        <v>44</v>
      </c>
      <c r="U38" s="4" t="str">
        <f t="shared" si="2"/>
        <v/>
      </c>
      <c r="V38" s="4" t="e">
        <f>IF($V$3=$M$3,M38,U38*(1+'Rhaniad y Ddeiliadaeth (Cymru)'!C$118))</f>
        <v>#VALUE!</v>
      </c>
      <c r="W38" s="4" t="e">
        <f>V38*(1+'Rhaniad y Ddeiliadaeth (Cymru)'!D$118)</f>
        <v>#VALUE!</v>
      </c>
      <c r="X38" s="4" t="e">
        <f>W38*(1+'Rhaniad y Ddeiliadaeth (Cymru)'!E$118)</f>
        <v>#VALUE!</v>
      </c>
      <c r="Y38" s="4" t="e">
        <f>X38*(1+'Rhaniad y Ddeiliadaeth (Cymru)'!F$118)</f>
        <v>#VALUE!</v>
      </c>
      <c r="Z38" s="4" t="e">
        <f>Y38*(1+'Rhaniad y Ddeiliadaeth (Cymru)'!G$118)</f>
        <v>#VALUE!</v>
      </c>
      <c r="AB38" s="1">
        <v>44</v>
      </c>
      <c r="AC38" s="4">
        <f>IF('Rhaniad y Ddeiliadaeth (Cymru)'!$D$18="Data Cofrestrfa Tir",'Prisiau Tai (Gogledd)'!D38,'Prisiau Tai (Gogledd)'!V38)</f>
        <v>148038.98400294094</v>
      </c>
      <c r="AD38" s="4">
        <f>IF('Rhaniad y Ddeiliadaeth (Cymru)'!$D$18="Data Cofrestrfa Tir",'Prisiau Tai (Gogledd)'!E38,'Prisiau Tai (Gogledd)'!W38)</f>
        <v>148368.60090479159</v>
      </c>
      <c r="AE38" s="4">
        <f>IF('Rhaniad y Ddeiliadaeth (Cymru)'!$D$18="Data Cofrestrfa Tir",'Prisiau Tai (Gogledd)'!F38,'Prisiau Tai (Gogledd)'!X38)</f>
        <v>151562.14305495843</v>
      </c>
      <c r="AF38" s="4">
        <f>IF('Rhaniad y Ddeiliadaeth (Cymru)'!$D$18="Data Cofrestrfa Tir",'Prisiau Tai (Gogledd)'!G38,'Prisiau Tai (Gogledd)'!Y38)</f>
        <v>157472.94061337216</v>
      </c>
      <c r="AG38" s="4">
        <f>IF('Rhaniad y Ddeiliadaeth (Cymru)'!$D$18="Data Cofrestrfa Tir",'Prisiau Tai (Gogledd)'!H38,'Prisiau Tai (Gogledd)'!Z38)</f>
        <v>164004.9062066999</v>
      </c>
    </row>
    <row r="39" spans="2:33" x14ac:dyDescent="0.25">
      <c r="B39" s="20">
        <v>45</v>
      </c>
      <c r="C39" s="56">
        <v>145000</v>
      </c>
      <c r="D39" s="57">
        <f>C39*(1+'Rhaniad y Ddeiliadaeth (Gog)'!C$118)</f>
        <v>149118.8098674987</v>
      </c>
      <c r="E39" s="57">
        <f>D39*(1+'Rhaniad y Ddeiliadaeth (Gog)'!D$118)</f>
        <v>149450.83106074875</v>
      </c>
      <c r="F39" s="57">
        <f>E39*(1+'Rhaniad y Ddeiliadaeth (Gog)'!E$118)</f>
        <v>152667.66754407069</v>
      </c>
      <c r="G39" s="57">
        <f>F39*(1+'Rhaniad y Ddeiliadaeth (Gog)'!F$118)</f>
        <v>158621.57963833946</v>
      </c>
      <c r="H39" s="57">
        <f>G39*(1+'Rhaniad y Ddeiliadaeth (Gog)'!G$118)</f>
        <v>165201.19069101414</v>
      </c>
      <c r="L39" s="62" t="str">
        <f t="shared" si="0"/>
        <v/>
      </c>
      <c r="M39" s="239"/>
      <c r="N39" s="14">
        <f t="shared" si="3"/>
        <v>1</v>
      </c>
      <c r="T39" s="1">
        <f t="shared" si="1"/>
        <v>45</v>
      </c>
      <c r="U39" s="4" t="str">
        <f t="shared" si="2"/>
        <v/>
      </c>
      <c r="V39" s="4" t="e">
        <f>IF($V$3=$M$3,M39,U39*(1+'Rhaniad y Ddeiliadaeth (Cymru)'!C$118))</f>
        <v>#VALUE!</v>
      </c>
      <c r="W39" s="4" t="e">
        <f>V39*(1+'Rhaniad y Ddeiliadaeth (Cymru)'!D$118)</f>
        <v>#VALUE!</v>
      </c>
      <c r="X39" s="4" t="e">
        <f>W39*(1+'Rhaniad y Ddeiliadaeth (Cymru)'!E$118)</f>
        <v>#VALUE!</v>
      </c>
      <c r="Y39" s="4" t="e">
        <f>X39*(1+'Rhaniad y Ddeiliadaeth (Cymru)'!F$118)</f>
        <v>#VALUE!</v>
      </c>
      <c r="Z39" s="4" t="e">
        <f>Y39*(1+'Rhaniad y Ddeiliadaeth (Cymru)'!G$118)</f>
        <v>#VALUE!</v>
      </c>
      <c r="AB39" s="1">
        <v>45</v>
      </c>
      <c r="AC39" s="4">
        <f>IF('Rhaniad y Ddeiliadaeth (Cymru)'!$D$18="Data Cofrestrfa Tir",'Prisiau Tai (Gogledd)'!D39,'Prisiau Tai (Gogledd)'!V39)</f>
        <v>149118.8098674987</v>
      </c>
      <c r="AD39" s="4">
        <f>IF('Rhaniad y Ddeiliadaeth (Cymru)'!$D$18="Data Cofrestrfa Tir",'Prisiau Tai (Gogledd)'!E39,'Prisiau Tai (Gogledd)'!W39)</f>
        <v>149450.83106074875</v>
      </c>
      <c r="AE39" s="4">
        <f>IF('Rhaniad y Ddeiliadaeth (Cymru)'!$D$18="Data Cofrestrfa Tir",'Prisiau Tai (Gogledd)'!F39,'Prisiau Tai (Gogledd)'!X39)</f>
        <v>152667.66754407069</v>
      </c>
      <c r="AF39" s="4">
        <f>IF('Rhaniad y Ddeiliadaeth (Cymru)'!$D$18="Data Cofrestrfa Tir",'Prisiau Tai (Gogledd)'!G39,'Prisiau Tai (Gogledd)'!Y39)</f>
        <v>158621.57963833946</v>
      </c>
      <c r="AG39" s="4">
        <f>IF('Rhaniad y Ddeiliadaeth (Cymru)'!$D$18="Data Cofrestrfa Tir",'Prisiau Tai (Gogledd)'!H39,'Prisiau Tai (Gogledd)'!Z39)</f>
        <v>165201.19069101414</v>
      </c>
    </row>
    <row r="40" spans="2:33" x14ac:dyDescent="0.25">
      <c r="B40" s="20">
        <v>46</v>
      </c>
      <c r="C40" s="56">
        <v>146500</v>
      </c>
      <c r="D40" s="57">
        <f>C40*(1+'Rhaniad y Ddeiliadaeth (Gog)'!C$118)</f>
        <v>150661.41824543834</v>
      </c>
      <c r="E40" s="57">
        <f>D40*(1+'Rhaniad y Ddeiliadaeth (Gog)'!D$118)</f>
        <v>150996.87414068752</v>
      </c>
      <c r="F40" s="57">
        <f>E40*(1+'Rhaniad y Ddeiliadaeth (Gog)'!E$118)</f>
        <v>154246.98824280244</v>
      </c>
      <c r="G40" s="57">
        <f>F40*(1+'Rhaniad y Ddeiliadaeth (Gog)'!F$118)</f>
        <v>160262.49253114988</v>
      </c>
      <c r="H40" s="57">
        <f>G40*(1+'Rhaniad y Ddeiliadaeth (Gog)'!G$118)</f>
        <v>166910.1685257488</v>
      </c>
      <c r="L40" s="62" t="str">
        <f t="shared" si="0"/>
        <v/>
      </c>
      <c r="M40" s="239"/>
      <c r="N40" s="14">
        <f t="shared" si="3"/>
        <v>1</v>
      </c>
      <c r="T40" s="1">
        <f t="shared" si="1"/>
        <v>46</v>
      </c>
      <c r="U40" s="4" t="str">
        <f t="shared" si="2"/>
        <v/>
      </c>
      <c r="V40" s="4" t="e">
        <f>IF($V$3=$M$3,M40,U40*(1+'Rhaniad y Ddeiliadaeth (Cymru)'!C$118))</f>
        <v>#VALUE!</v>
      </c>
      <c r="W40" s="4" t="e">
        <f>V40*(1+'Rhaniad y Ddeiliadaeth (Cymru)'!D$118)</f>
        <v>#VALUE!</v>
      </c>
      <c r="X40" s="4" t="e">
        <f>W40*(1+'Rhaniad y Ddeiliadaeth (Cymru)'!E$118)</f>
        <v>#VALUE!</v>
      </c>
      <c r="Y40" s="4" t="e">
        <f>X40*(1+'Rhaniad y Ddeiliadaeth (Cymru)'!F$118)</f>
        <v>#VALUE!</v>
      </c>
      <c r="Z40" s="4" t="e">
        <f>Y40*(1+'Rhaniad y Ddeiliadaeth (Cymru)'!G$118)</f>
        <v>#VALUE!</v>
      </c>
      <c r="AB40" s="1">
        <v>46</v>
      </c>
      <c r="AC40" s="4">
        <f>IF('Rhaniad y Ddeiliadaeth (Cymru)'!$D$18="Data Cofrestrfa Tir",'Prisiau Tai (Gogledd)'!D40,'Prisiau Tai (Gogledd)'!V40)</f>
        <v>150661.41824543834</v>
      </c>
      <c r="AD40" s="4">
        <f>IF('Rhaniad y Ddeiliadaeth (Cymru)'!$D$18="Data Cofrestrfa Tir",'Prisiau Tai (Gogledd)'!E40,'Prisiau Tai (Gogledd)'!W40)</f>
        <v>150996.87414068752</v>
      </c>
      <c r="AE40" s="4">
        <f>IF('Rhaniad y Ddeiliadaeth (Cymru)'!$D$18="Data Cofrestrfa Tir",'Prisiau Tai (Gogledd)'!F40,'Prisiau Tai (Gogledd)'!X40)</f>
        <v>154246.98824280244</v>
      </c>
      <c r="AF40" s="4">
        <f>IF('Rhaniad y Ddeiliadaeth (Cymru)'!$D$18="Data Cofrestrfa Tir",'Prisiau Tai (Gogledd)'!G40,'Prisiau Tai (Gogledd)'!Y40)</f>
        <v>160262.49253114988</v>
      </c>
      <c r="AG40" s="4">
        <f>IF('Rhaniad y Ddeiliadaeth (Cymru)'!$D$18="Data Cofrestrfa Tir",'Prisiau Tai (Gogledd)'!H40,'Prisiau Tai (Gogledd)'!Z40)</f>
        <v>166910.1685257488</v>
      </c>
    </row>
    <row r="41" spans="2:33" x14ac:dyDescent="0.25">
      <c r="B41" s="20">
        <v>47</v>
      </c>
      <c r="C41" s="56">
        <v>149000</v>
      </c>
      <c r="D41" s="57">
        <f>C41*(1+'Rhaniad y Ddeiliadaeth (Gog)'!C$118)</f>
        <v>153232.43220867106</v>
      </c>
      <c r="E41" s="57">
        <f>D41*(1+'Rhaniad y Ddeiliadaeth (Gog)'!D$118)</f>
        <v>153573.61260725214</v>
      </c>
      <c r="F41" s="57">
        <f>E41*(1+'Rhaniad y Ddeiliadaeth (Gog)'!E$118)</f>
        <v>156879.18940735538</v>
      </c>
      <c r="G41" s="57">
        <f>F41*(1+'Rhaniad y Ddeiliadaeth (Gog)'!F$118)</f>
        <v>162997.34735250054</v>
      </c>
      <c r="H41" s="57">
        <f>G41*(1+'Rhaniad y Ddeiliadaeth (Gog)'!G$118)</f>
        <v>169758.46491697314</v>
      </c>
      <c r="L41" s="62" t="str">
        <f t="shared" si="0"/>
        <v/>
      </c>
      <c r="M41" s="239"/>
      <c r="N41" s="14">
        <f t="shared" si="3"/>
        <v>1</v>
      </c>
      <c r="T41" s="1">
        <f t="shared" si="1"/>
        <v>47</v>
      </c>
      <c r="U41" s="4" t="str">
        <f t="shared" si="2"/>
        <v/>
      </c>
      <c r="V41" s="4" t="e">
        <f>IF($V$3=$M$3,M41,U41*(1+'Rhaniad y Ddeiliadaeth (Cymru)'!C$118))</f>
        <v>#VALUE!</v>
      </c>
      <c r="W41" s="4" t="e">
        <f>V41*(1+'Rhaniad y Ddeiliadaeth (Cymru)'!D$118)</f>
        <v>#VALUE!</v>
      </c>
      <c r="X41" s="4" t="e">
        <f>W41*(1+'Rhaniad y Ddeiliadaeth (Cymru)'!E$118)</f>
        <v>#VALUE!</v>
      </c>
      <c r="Y41" s="4" t="e">
        <f>X41*(1+'Rhaniad y Ddeiliadaeth (Cymru)'!F$118)</f>
        <v>#VALUE!</v>
      </c>
      <c r="Z41" s="4" t="e">
        <f>Y41*(1+'Rhaniad y Ddeiliadaeth (Cymru)'!G$118)</f>
        <v>#VALUE!</v>
      </c>
      <c r="AB41" s="1">
        <v>47</v>
      </c>
      <c r="AC41" s="4">
        <f>IF('Rhaniad y Ddeiliadaeth (Cymru)'!$D$18="Data Cofrestrfa Tir",'Prisiau Tai (Gogledd)'!D41,'Prisiau Tai (Gogledd)'!V41)</f>
        <v>153232.43220867106</v>
      </c>
      <c r="AD41" s="4">
        <f>IF('Rhaniad y Ddeiliadaeth (Cymru)'!$D$18="Data Cofrestrfa Tir",'Prisiau Tai (Gogledd)'!E41,'Prisiau Tai (Gogledd)'!W41)</f>
        <v>153573.61260725214</v>
      </c>
      <c r="AE41" s="4">
        <f>IF('Rhaniad y Ddeiliadaeth (Cymru)'!$D$18="Data Cofrestrfa Tir",'Prisiau Tai (Gogledd)'!F41,'Prisiau Tai (Gogledd)'!X41)</f>
        <v>156879.18940735538</v>
      </c>
      <c r="AF41" s="4">
        <f>IF('Rhaniad y Ddeiliadaeth (Cymru)'!$D$18="Data Cofrestrfa Tir",'Prisiau Tai (Gogledd)'!G41,'Prisiau Tai (Gogledd)'!Y41)</f>
        <v>162997.34735250054</v>
      </c>
      <c r="AG41" s="4">
        <f>IF('Rhaniad y Ddeiliadaeth (Cymru)'!$D$18="Data Cofrestrfa Tir",'Prisiau Tai (Gogledd)'!H41,'Prisiau Tai (Gogledd)'!Z41)</f>
        <v>169758.46491697314</v>
      </c>
    </row>
    <row r="42" spans="2:33" x14ac:dyDescent="0.25">
      <c r="B42" s="20">
        <v>48</v>
      </c>
      <c r="C42" s="56">
        <v>150000</v>
      </c>
      <c r="D42" s="57">
        <f>C42*(1+'Rhaniad y Ddeiliadaeth (Gog)'!C$118)</f>
        <v>154260.83779396417</v>
      </c>
      <c r="E42" s="57">
        <f>D42*(1+'Rhaniad y Ddeiliadaeth (Gog)'!D$118)</f>
        <v>154604.307993878</v>
      </c>
      <c r="F42" s="57">
        <f>E42*(1+'Rhaniad y Ddeiliadaeth (Gog)'!E$118)</f>
        <v>157932.06987317657</v>
      </c>
      <c r="G42" s="57">
        <f>F42*(1+'Rhaniad y Ddeiliadaeth (Gog)'!F$118)</f>
        <v>164091.28928104084</v>
      </c>
      <c r="H42" s="57">
        <f>G42*(1+'Rhaniad y Ddeiliadaeth (Gog)'!G$118)</f>
        <v>170897.78347346291</v>
      </c>
      <c r="L42" s="62" t="str">
        <f t="shared" si="0"/>
        <v/>
      </c>
      <c r="M42" s="239"/>
      <c r="N42" s="14">
        <f t="shared" si="3"/>
        <v>1</v>
      </c>
      <c r="T42" s="1">
        <f t="shared" si="1"/>
        <v>48</v>
      </c>
      <c r="U42" s="4" t="str">
        <f t="shared" si="2"/>
        <v/>
      </c>
      <c r="V42" s="4" t="e">
        <f>IF($V$3=$M$3,M42,U42*(1+'Rhaniad y Ddeiliadaeth (Cymru)'!C$118))</f>
        <v>#VALUE!</v>
      </c>
      <c r="W42" s="4" t="e">
        <f>V42*(1+'Rhaniad y Ddeiliadaeth (Cymru)'!D$118)</f>
        <v>#VALUE!</v>
      </c>
      <c r="X42" s="4" t="e">
        <f>W42*(1+'Rhaniad y Ddeiliadaeth (Cymru)'!E$118)</f>
        <v>#VALUE!</v>
      </c>
      <c r="Y42" s="4" t="e">
        <f>X42*(1+'Rhaniad y Ddeiliadaeth (Cymru)'!F$118)</f>
        <v>#VALUE!</v>
      </c>
      <c r="Z42" s="4" t="e">
        <f>Y42*(1+'Rhaniad y Ddeiliadaeth (Cymru)'!G$118)</f>
        <v>#VALUE!</v>
      </c>
      <c r="AB42" s="1">
        <v>48</v>
      </c>
      <c r="AC42" s="4">
        <f>IF('Rhaniad y Ddeiliadaeth (Cymru)'!$D$18="Data Cofrestrfa Tir",'Prisiau Tai (Gogledd)'!D42,'Prisiau Tai (Gogledd)'!V42)</f>
        <v>154260.83779396417</v>
      </c>
      <c r="AD42" s="4">
        <f>IF('Rhaniad y Ddeiliadaeth (Cymru)'!$D$18="Data Cofrestrfa Tir",'Prisiau Tai (Gogledd)'!E42,'Prisiau Tai (Gogledd)'!W42)</f>
        <v>154604.307993878</v>
      </c>
      <c r="AE42" s="4">
        <f>IF('Rhaniad y Ddeiliadaeth (Cymru)'!$D$18="Data Cofrestrfa Tir",'Prisiau Tai (Gogledd)'!F42,'Prisiau Tai (Gogledd)'!X42)</f>
        <v>157932.06987317657</v>
      </c>
      <c r="AF42" s="4">
        <f>IF('Rhaniad y Ddeiliadaeth (Cymru)'!$D$18="Data Cofrestrfa Tir",'Prisiau Tai (Gogledd)'!G42,'Prisiau Tai (Gogledd)'!Y42)</f>
        <v>164091.28928104084</v>
      </c>
      <c r="AG42" s="4">
        <f>IF('Rhaniad y Ddeiliadaeth (Cymru)'!$D$18="Data Cofrestrfa Tir",'Prisiau Tai (Gogledd)'!H42,'Prisiau Tai (Gogledd)'!Z42)</f>
        <v>170897.78347346291</v>
      </c>
    </row>
    <row r="43" spans="2:33" x14ac:dyDescent="0.25">
      <c r="B43" s="20">
        <v>49</v>
      </c>
      <c r="C43" s="56">
        <v>151158</v>
      </c>
      <c r="D43" s="57">
        <f>C43*(1+'Rhaniad y Ddeiliadaeth (Gog)'!C$118)</f>
        <v>155451.73146173358</v>
      </c>
      <c r="E43" s="57">
        <f>D43*(1+'Rhaniad y Ddeiliadaeth (Gog)'!D$118)</f>
        <v>155797.85325159074</v>
      </c>
      <c r="F43" s="57">
        <f>E43*(1+'Rhaniad y Ddeiliadaeth (Gog)'!E$118)</f>
        <v>159151.3054525975</v>
      </c>
      <c r="G43" s="57">
        <f>F43*(1+'Rhaniad y Ddeiliadaeth (Gog)'!F$118)</f>
        <v>165358.07403429048</v>
      </c>
      <c r="H43" s="57">
        <f>G43*(1+'Rhaniad y Ddeiliadaeth (Gog)'!G$118)</f>
        <v>172217.11436187805</v>
      </c>
      <c r="L43" s="62" t="str">
        <f t="shared" si="0"/>
        <v/>
      </c>
      <c r="M43" s="239"/>
      <c r="N43" s="14">
        <f t="shared" si="3"/>
        <v>1</v>
      </c>
      <c r="T43" s="1">
        <f t="shared" si="1"/>
        <v>49</v>
      </c>
      <c r="U43" s="4" t="str">
        <f t="shared" si="2"/>
        <v/>
      </c>
      <c r="V43" s="4" t="e">
        <f>IF($V$3=$M$3,M43,U43*(1+'Rhaniad y Ddeiliadaeth (Cymru)'!C$118))</f>
        <v>#VALUE!</v>
      </c>
      <c r="W43" s="4" t="e">
        <f>V43*(1+'Rhaniad y Ddeiliadaeth (Cymru)'!D$118)</f>
        <v>#VALUE!</v>
      </c>
      <c r="X43" s="4" t="e">
        <f>W43*(1+'Rhaniad y Ddeiliadaeth (Cymru)'!E$118)</f>
        <v>#VALUE!</v>
      </c>
      <c r="Y43" s="4" t="e">
        <f>X43*(1+'Rhaniad y Ddeiliadaeth (Cymru)'!F$118)</f>
        <v>#VALUE!</v>
      </c>
      <c r="Z43" s="4" t="e">
        <f>Y43*(1+'Rhaniad y Ddeiliadaeth (Cymru)'!G$118)</f>
        <v>#VALUE!</v>
      </c>
      <c r="AB43" s="1">
        <v>49</v>
      </c>
      <c r="AC43" s="4">
        <f>IF('Rhaniad y Ddeiliadaeth (Cymru)'!$D$18="Data Cofrestrfa Tir",'Prisiau Tai (Gogledd)'!D43,'Prisiau Tai (Gogledd)'!V43)</f>
        <v>155451.73146173358</v>
      </c>
      <c r="AD43" s="4">
        <f>IF('Rhaniad y Ddeiliadaeth (Cymru)'!$D$18="Data Cofrestrfa Tir",'Prisiau Tai (Gogledd)'!E43,'Prisiau Tai (Gogledd)'!W43)</f>
        <v>155797.85325159074</v>
      </c>
      <c r="AE43" s="4">
        <f>IF('Rhaniad y Ddeiliadaeth (Cymru)'!$D$18="Data Cofrestrfa Tir",'Prisiau Tai (Gogledd)'!F43,'Prisiau Tai (Gogledd)'!X43)</f>
        <v>159151.3054525975</v>
      </c>
      <c r="AF43" s="4">
        <f>IF('Rhaniad y Ddeiliadaeth (Cymru)'!$D$18="Data Cofrestrfa Tir",'Prisiau Tai (Gogledd)'!G43,'Prisiau Tai (Gogledd)'!Y43)</f>
        <v>165358.07403429048</v>
      </c>
      <c r="AG43" s="4">
        <f>IF('Rhaniad y Ddeiliadaeth (Cymru)'!$D$18="Data Cofrestrfa Tir",'Prisiau Tai (Gogledd)'!H43,'Prisiau Tai (Gogledd)'!Z43)</f>
        <v>172217.11436187805</v>
      </c>
    </row>
    <row r="44" spans="2:33" x14ac:dyDescent="0.25">
      <c r="B44" s="20">
        <v>50</v>
      </c>
      <c r="C44" s="56">
        <v>153000</v>
      </c>
      <c r="D44" s="57">
        <f>C44*(1+'Rhaniad y Ddeiliadaeth (Gog)'!C$118)</f>
        <v>157346.05454984345</v>
      </c>
      <c r="E44" s="57">
        <f>D44*(1+'Rhaniad y Ddeiliadaeth (Gog)'!D$118)</f>
        <v>157696.39415375557</v>
      </c>
      <c r="F44" s="57">
        <f>E44*(1+'Rhaniad y Ddeiliadaeth (Gog)'!E$118)</f>
        <v>161090.71127064011</v>
      </c>
      <c r="G44" s="57">
        <f>F44*(1+'Rhaniad y Ddeiliadaeth (Gog)'!F$118)</f>
        <v>167373.11506666164</v>
      </c>
      <c r="H44" s="57">
        <f>G44*(1+'Rhaniad y Ddeiliadaeth (Gog)'!G$118)</f>
        <v>174315.73914293217</v>
      </c>
      <c r="L44" s="62" t="str">
        <f t="shared" si="0"/>
        <v/>
      </c>
      <c r="M44" s="239"/>
      <c r="N44" s="14">
        <f t="shared" si="3"/>
        <v>1</v>
      </c>
      <c r="T44" s="1">
        <f t="shared" si="1"/>
        <v>50</v>
      </c>
      <c r="U44" s="4" t="str">
        <f t="shared" si="2"/>
        <v/>
      </c>
      <c r="V44" s="4" t="e">
        <f>IF($V$3=$M$3,M44,U44*(1+'Rhaniad y Ddeiliadaeth (Cymru)'!C$118))</f>
        <v>#VALUE!</v>
      </c>
      <c r="W44" s="4" t="e">
        <f>V44*(1+'Rhaniad y Ddeiliadaeth (Cymru)'!D$118)</f>
        <v>#VALUE!</v>
      </c>
      <c r="X44" s="4" t="e">
        <f>W44*(1+'Rhaniad y Ddeiliadaeth (Cymru)'!E$118)</f>
        <v>#VALUE!</v>
      </c>
      <c r="Y44" s="4" t="e">
        <f>X44*(1+'Rhaniad y Ddeiliadaeth (Cymru)'!F$118)</f>
        <v>#VALUE!</v>
      </c>
      <c r="Z44" s="4" t="e">
        <f>Y44*(1+'Rhaniad y Ddeiliadaeth (Cymru)'!G$118)</f>
        <v>#VALUE!</v>
      </c>
      <c r="AB44" s="1">
        <v>50</v>
      </c>
      <c r="AC44" s="4">
        <f>IF('Rhaniad y Ddeiliadaeth (Cymru)'!$D$18="Data Cofrestrfa Tir",'Prisiau Tai (Gogledd)'!D44,'Prisiau Tai (Gogledd)'!V44)</f>
        <v>157346.05454984345</v>
      </c>
      <c r="AD44" s="4">
        <f>IF('Rhaniad y Ddeiliadaeth (Cymru)'!$D$18="Data Cofrestrfa Tir",'Prisiau Tai (Gogledd)'!E44,'Prisiau Tai (Gogledd)'!W44)</f>
        <v>157696.39415375557</v>
      </c>
      <c r="AE44" s="4">
        <f>IF('Rhaniad y Ddeiliadaeth (Cymru)'!$D$18="Data Cofrestrfa Tir",'Prisiau Tai (Gogledd)'!F44,'Prisiau Tai (Gogledd)'!X44)</f>
        <v>161090.71127064011</v>
      </c>
      <c r="AF44" s="4">
        <f>IF('Rhaniad y Ddeiliadaeth (Cymru)'!$D$18="Data Cofrestrfa Tir",'Prisiau Tai (Gogledd)'!G44,'Prisiau Tai (Gogledd)'!Y44)</f>
        <v>167373.11506666164</v>
      </c>
      <c r="AG44" s="4">
        <f>IF('Rhaniad y Ddeiliadaeth (Cymru)'!$D$18="Data Cofrestrfa Tir",'Prisiau Tai (Gogledd)'!H44,'Prisiau Tai (Gogledd)'!Z44)</f>
        <v>174315.73914293217</v>
      </c>
    </row>
    <row r="45" spans="2:33" x14ac:dyDescent="0.25">
      <c r="B45" s="20">
        <v>51</v>
      </c>
      <c r="C45" s="56">
        <v>155000</v>
      </c>
      <c r="D45" s="57">
        <f>C45*(1+'Rhaniad y Ddeiliadaeth (Gog)'!C$118)</f>
        <v>159402.86572042963</v>
      </c>
      <c r="E45" s="57">
        <f>D45*(1+'Rhaniad y Ddeiliadaeth (Gog)'!D$118)</f>
        <v>159757.78492700728</v>
      </c>
      <c r="F45" s="57">
        <f>E45*(1+'Rhaniad y Ddeiliadaeth (Gog)'!E$118)</f>
        <v>163196.47220228246</v>
      </c>
      <c r="G45" s="57">
        <f>F45*(1+'Rhaniad y Ddeiliadaeth (Gog)'!F$118)</f>
        <v>169560.99892374218</v>
      </c>
      <c r="H45" s="57">
        <f>G45*(1+'Rhaniad y Ddeiliadaeth (Gog)'!G$118)</f>
        <v>176594.37625591166</v>
      </c>
      <c r="L45" s="62" t="str">
        <f t="shared" si="0"/>
        <v/>
      </c>
      <c r="M45" s="239"/>
      <c r="N45" s="14">
        <f t="shared" si="3"/>
        <v>1</v>
      </c>
      <c r="T45" s="1">
        <f t="shared" si="1"/>
        <v>51</v>
      </c>
      <c r="U45" s="4" t="str">
        <f t="shared" si="2"/>
        <v/>
      </c>
      <c r="V45" s="4" t="e">
        <f>IF($V$3=$M$3,M45,U45*(1+'Rhaniad y Ddeiliadaeth (Cymru)'!C$118))</f>
        <v>#VALUE!</v>
      </c>
      <c r="W45" s="4" t="e">
        <f>V45*(1+'Rhaniad y Ddeiliadaeth (Cymru)'!D$118)</f>
        <v>#VALUE!</v>
      </c>
      <c r="X45" s="4" t="e">
        <f>W45*(1+'Rhaniad y Ddeiliadaeth (Cymru)'!E$118)</f>
        <v>#VALUE!</v>
      </c>
      <c r="Y45" s="4" t="e">
        <f>X45*(1+'Rhaniad y Ddeiliadaeth (Cymru)'!F$118)</f>
        <v>#VALUE!</v>
      </c>
      <c r="Z45" s="4" t="e">
        <f>Y45*(1+'Rhaniad y Ddeiliadaeth (Cymru)'!G$118)</f>
        <v>#VALUE!</v>
      </c>
      <c r="AB45" s="1">
        <v>51</v>
      </c>
      <c r="AC45" s="4">
        <f>IF('Rhaniad y Ddeiliadaeth (Cymru)'!$D$18="Data Cofrestrfa Tir",'Prisiau Tai (Gogledd)'!D45,'Prisiau Tai (Gogledd)'!V45)</f>
        <v>159402.86572042963</v>
      </c>
      <c r="AD45" s="4">
        <f>IF('Rhaniad y Ddeiliadaeth (Cymru)'!$D$18="Data Cofrestrfa Tir",'Prisiau Tai (Gogledd)'!E45,'Prisiau Tai (Gogledd)'!W45)</f>
        <v>159757.78492700728</v>
      </c>
      <c r="AE45" s="4">
        <f>IF('Rhaniad y Ddeiliadaeth (Cymru)'!$D$18="Data Cofrestrfa Tir",'Prisiau Tai (Gogledd)'!F45,'Prisiau Tai (Gogledd)'!X45)</f>
        <v>163196.47220228246</v>
      </c>
      <c r="AF45" s="4">
        <f>IF('Rhaniad y Ddeiliadaeth (Cymru)'!$D$18="Data Cofrestrfa Tir",'Prisiau Tai (Gogledd)'!G45,'Prisiau Tai (Gogledd)'!Y45)</f>
        <v>169560.99892374218</v>
      </c>
      <c r="AG45" s="4">
        <f>IF('Rhaniad y Ddeiliadaeth (Cymru)'!$D$18="Data Cofrestrfa Tir",'Prisiau Tai (Gogledd)'!H45,'Prisiau Tai (Gogledd)'!Z45)</f>
        <v>176594.37625591166</v>
      </c>
    </row>
    <row r="46" spans="2:33" x14ac:dyDescent="0.25">
      <c r="B46" s="20">
        <v>52</v>
      </c>
      <c r="C46" s="56">
        <v>156995</v>
      </c>
      <c r="D46" s="57">
        <f>C46*(1+'Rhaniad y Ddeiliadaeth (Gog)'!C$118)</f>
        <v>161454.53486308936</v>
      </c>
      <c r="E46" s="57">
        <f>D46*(1+'Rhaniad y Ddeiliadaeth (Gog)'!D$118)</f>
        <v>161814.02222332585</v>
      </c>
      <c r="F46" s="57">
        <f>E46*(1+'Rhaniad y Ddeiliadaeth (Gog)'!E$118)</f>
        <v>165296.9687315957</v>
      </c>
      <c r="G46" s="57">
        <f>F46*(1+'Rhaniad y Ddeiliadaeth (Gog)'!F$118)</f>
        <v>171743.41307118002</v>
      </c>
      <c r="H46" s="57">
        <f>G46*(1+'Rhaniad y Ddeiliadaeth (Gog)'!G$118)</f>
        <v>178867.31677610872</v>
      </c>
      <c r="L46" s="62" t="str">
        <f t="shared" si="0"/>
        <v/>
      </c>
      <c r="M46" s="239"/>
      <c r="N46" s="14">
        <f t="shared" si="3"/>
        <v>1</v>
      </c>
      <c r="T46" s="1">
        <f t="shared" si="1"/>
        <v>52</v>
      </c>
      <c r="U46" s="4" t="str">
        <f t="shared" si="2"/>
        <v/>
      </c>
      <c r="V46" s="4" t="e">
        <f>IF($V$3=$M$3,M46,U46*(1+'Rhaniad y Ddeiliadaeth (Cymru)'!C$118))</f>
        <v>#VALUE!</v>
      </c>
      <c r="W46" s="4" t="e">
        <f>V46*(1+'Rhaniad y Ddeiliadaeth (Cymru)'!D$118)</f>
        <v>#VALUE!</v>
      </c>
      <c r="X46" s="4" t="e">
        <f>W46*(1+'Rhaniad y Ddeiliadaeth (Cymru)'!E$118)</f>
        <v>#VALUE!</v>
      </c>
      <c r="Y46" s="4" t="e">
        <f>X46*(1+'Rhaniad y Ddeiliadaeth (Cymru)'!F$118)</f>
        <v>#VALUE!</v>
      </c>
      <c r="Z46" s="4" t="e">
        <f>Y46*(1+'Rhaniad y Ddeiliadaeth (Cymru)'!G$118)</f>
        <v>#VALUE!</v>
      </c>
      <c r="AB46" s="1">
        <v>52</v>
      </c>
      <c r="AC46" s="4">
        <f>IF('Rhaniad y Ddeiliadaeth (Cymru)'!$D$18="Data Cofrestrfa Tir",'Prisiau Tai (Gogledd)'!D46,'Prisiau Tai (Gogledd)'!V46)</f>
        <v>161454.53486308936</v>
      </c>
      <c r="AD46" s="4">
        <f>IF('Rhaniad y Ddeiliadaeth (Cymru)'!$D$18="Data Cofrestrfa Tir",'Prisiau Tai (Gogledd)'!E46,'Prisiau Tai (Gogledd)'!W46)</f>
        <v>161814.02222332585</v>
      </c>
      <c r="AE46" s="4">
        <f>IF('Rhaniad y Ddeiliadaeth (Cymru)'!$D$18="Data Cofrestrfa Tir",'Prisiau Tai (Gogledd)'!F46,'Prisiau Tai (Gogledd)'!X46)</f>
        <v>165296.9687315957</v>
      </c>
      <c r="AF46" s="4">
        <f>IF('Rhaniad y Ddeiliadaeth (Cymru)'!$D$18="Data Cofrestrfa Tir",'Prisiau Tai (Gogledd)'!G46,'Prisiau Tai (Gogledd)'!Y46)</f>
        <v>171743.41307118002</v>
      </c>
      <c r="AG46" s="4">
        <f>IF('Rhaniad y Ddeiliadaeth (Cymru)'!$D$18="Data Cofrestrfa Tir",'Prisiau Tai (Gogledd)'!H46,'Prisiau Tai (Gogledd)'!Z46)</f>
        <v>178867.31677610872</v>
      </c>
    </row>
    <row r="47" spans="2:33" x14ac:dyDescent="0.25">
      <c r="B47" s="20">
        <v>53</v>
      </c>
      <c r="C47" s="56">
        <v>159000</v>
      </c>
      <c r="D47" s="57">
        <f>C47*(1+'Rhaniad y Ddeiliadaeth (Gog)'!C$118)</f>
        <v>163516.48806160202</v>
      </c>
      <c r="E47" s="57">
        <f>D47*(1+'Rhaniad y Ddeiliadaeth (Gog)'!D$118)</f>
        <v>163880.5664735107</v>
      </c>
      <c r="F47" s="57">
        <f>E47*(1+'Rhaniad y Ddeiliadaeth (Gog)'!E$118)</f>
        <v>167407.99406556718</v>
      </c>
      <c r="G47" s="57">
        <f>F47*(1+'Rhaniad y Ddeiliadaeth (Gog)'!F$118)</f>
        <v>173936.76663790329</v>
      </c>
      <c r="H47" s="57">
        <f>G47*(1+'Rhaniad y Ddeiliadaeth (Gog)'!G$118)</f>
        <v>181151.65048187069</v>
      </c>
      <c r="L47" s="62" t="str">
        <f t="shared" si="0"/>
        <v/>
      </c>
      <c r="M47" s="239"/>
      <c r="N47" s="14">
        <f t="shared" si="3"/>
        <v>1</v>
      </c>
      <c r="T47" s="1">
        <f t="shared" si="1"/>
        <v>53</v>
      </c>
      <c r="U47" s="4" t="str">
        <f t="shared" si="2"/>
        <v/>
      </c>
      <c r="V47" s="4" t="e">
        <f>IF($V$3=$M$3,M47,U47*(1+'Rhaniad y Ddeiliadaeth (Cymru)'!C$118))</f>
        <v>#VALUE!</v>
      </c>
      <c r="W47" s="4" t="e">
        <f>V47*(1+'Rhaniad y Ddeiliadaeth (Cymru)'!D$118)</f>
        <v>#VALUE!</v>
      </c>
      <c r="X47" s="4" t="e">
        <f>W47*(1+'Rhaniad y Ddeiliadaeth (Cymru)'!E$118)</f>
        <v>#VALUE!</v>
      </c>
      <c r="Y47" s="4" t="e">
        <f>X47*(1+'Rhaniad y Ddeiliadaeth (Cymru)'!F$118)</f>
        <v>#VALUE!</v>
      </c>
      <c r="Z47" s="4" t="e">
        <f>Y47*(1+'Rhaniad y Ddeiliadaeth (Cymru)'!G$118)</f>
        <v>#VALUE!</v>
      </c>
      <c r="AB47" s="1">
        <v>53</v>
      </c>
      <c r="AC47" s="4">
        <f>IF('Rhaniad y Ddeiliadaeth (Cymru)'!$D$18="Data Cofrestrfa Tir",'Prisiau Tai (Gogledd)'!D47,'Prisiau Tai (Gogledd)'!V47)</f>
        <v>163516.48806160202</v>
      </c>
      <c r="AD47" s="4">
        <f>IF('Rhaniad y Ddeiliadaeth (Cymru)'!$D$18="Data Cofrestrfa Tir",'Prisiau Tai (Gogledd)'!E47,'Prisiau Tai (Gogledd)'!W47)</f>
        <v>163880.5664735107</v>
      </c>
      <c r="AE47" s="4">
        <f>IF('Rhaniad y Ddeiliadaeth (Cymru)'!$D$18="Data Cofrestrfa Tir",'Prisiau Tai (Gogledd)'!F47,'Prisiau Tai (Gogledd)'!X47)</f>
        <v>167407.99406556718</v>
      </c>
      <c r="AF47" s="4">
        <f>IF('Rhaniad y Ddeiliadaeth (Cymru)'!$D$18="Data Cofrestrfa Tir",'Prisiau Tai (Gogledd)'!G47,'Prisiau Tai (Gogledd)'!Y47)</f>
        <v>173936.76663790329</v>
      </c>
      <c r="AG47" s="4">
        <f>IF('Rhaniad y Ddeiliadaeth (Cymru)'!$D$18="Data Cofrestrfa Tir",'Prisiau Tai (Gogledd)'!H47,'Prisiau Tai (Gogledd)'!Z47)</f>
        <v>181151.65048187069</v>
      </c>
    </row>
    <row r="48" spans="2:33" x14ac:dyDescent="0.25">
      <c r="B48" s="20">
        <v>54</v>
      </c>
      <c r="C48" s="56">
        <v>160000</v>
      </c>
      <c r="D48" s="57">
        <f>C48*(1+'Rhaniad y Ddeiliadaeth (Gog)'!C$118)</f>
        <v>164544.8936468951</v>
      </c>
      <c r="E48" s="57">
        <f>D48*(1+'Rhaniad y Ddeiliadaeth (Gog)'!D$118)</f>
        <v>164911.26186013652</v>
      </c>
      <c r="F48" s="57">
        <f>E48*(1+'Rhaniad y Ddeiliadaeth (Gog)'!E$118)</f>
        <v>168460.87453138831</v>
      </c>
      <c r="G48" s="57">
        <f>F48*(1+'Rhaniad y Ddeiliadaeth (Gog)'!F$118)</f>
        <v>175030.70856644353</v>
      </c>
      <c r="H48" s="57">
        <f>G48*(1+'Rhaniad y Ddeiliadaeth (Gog)'!G$118)</f>
        <v>182290.96903836043</v>
      </c>
      <c r="L48" s="62" t="str">
        <f t="shared" si="0"/>
        <v/>
      </c>
      <c r="M48" s="239"/>
      <c r="N48" s="14">
        <f t="shared" si="3"/>
        <v>1</v>
      </c>
      <c r="T48" s="1">
        <f t="shared" si="1"/>
        <v>54</v>
      </c>
      <c r="U48" s="4" t="str">
        <f t="shared" si="2"/>
        <v/>
      </c>
      <c r="V48" s="4" t="e">
        <f>IF($V$3=$M$3,M48,U48*(1+'Rhaniad y Ddeiliadaeth (Cymru)'!C$118))</f>
        <v>#VALUE!</v>
      </c>
      <c r="W48" s="4" t="e">
        <f>V48*(1+'Rhaniad y Ddeiliadaeth (Cymru)'!D$118)</f>
        <v>#VALUE!</v>
      </c>
      <c r="X48" s="4" t="e">
        <f>W48*(1+'Rhaniad y Ddeiliadaeth (Cymru)'!E$118)</f>
        <v>#VALUE!</v>
      </c>
      <c r="Y48" s="4" t="e">
        <f>X48*(1+'Rhaniad y Ddeiliadaeth (Cymru)'!F$118)</f>
        <v>#VALUE!</v>
      </c>
      <c r="Z48" s="4" t="e">
        <f>Y48*(1+'Rhaniad y Ddeiliadaeth (Cymru)'!G$118)</f>
        <v>#VALUE!</v>
      </c>
      <c r="AB48" s="1">
        <v>54</v>
      </c>
      <c r="AC48" s="4">
        <f>IF('Rhaniad y Ddeiliadaeth (Cymru)'!$D$18="Data Cofrestrfa Tir",'Prisiau Tai (Gogledd)'!D48,'Prisiau Tai (Gogledd)'!V48)</f>
        <v>164544.8936468951</v>
      </c>
      <c r="AD48" s="4">
        <f>IF('Rhaniad y Ddeiliadaeth (Cymru)'!$D$18="Data Cofrestrfa Tir",'Prisiau Tai (Gogledd)'!E48,'Prisiau Tai (Gogledd)'!W48)</f>
        <v>164911.26186013652</v>
      </c>
      <c r="AE48" s="4">
        <f>IF('Rhaniad y Ddeiliadaeth (Cymru)'!$D$18="Data Cofrestrfa Tir",'Prisiau Tai (Gogledd)'!F48,'Prisiau Tai (Gogledd)'!X48)</f>
        <v>168460.87453138831</v>
      </c>
      <c r="AF48" s="4">
        <f>IF('Rhaniad y Ddeiliadaeth (Cymru)'!$D$18="Data Cofrestrfa Tir",'Prisiau Tai (Gogledd)'!G48,'Prisiau Tai (Gogledd)'!Y48)</f>
        <v>175030.70856644353</v>
      </c>
      <c r="AG48" s="4">
        <f>IF('Rhaniad y Ddeiliadaeth (Cymru)'!$D$18="Data Cofrestrfa Tir",'Prisiau Tai (Gogledd)'!H48,'Prisiau Tai (Gogledd)'!Z48)</f>
        <v>182290.96903836043</v>
      </c>
    </row>
    <row r="49" spans="2:33" x14ac:dyDescent="0.25">
      <c r="B49" s="20">
        <v>55</v>
      </c>
      <c r="C49" s="56">
        <v>161000</v>
      </c>
      <c r="D49" s="57">
        <f>C49*(1+'Rhaniad y Ddeiliadaeth (Gog)'!C$118)</f>
        <v>165573.2992321882</v>
      </c>
      <c r="E49" s="57">
        <f>D49*(1+'Rhaniad y Ddeiliadaeth (Gog)'!D$118)</f>
        <v>165941.95724676238</v>
      </c>
      <c r="F49" s="57">
        <f>E49*(1+'Rhaniad y Ddeiliadaeth (Gog)'!E$118)</f>
        <v>169513.7549972095</v>
      </c>
      <c r="G49" s="57">
        <f>F49*(1+'Rhaniad y Ddeiliadaeth (Gog)'!F$118)</f>
        <v>176124.6504949838</v>
      </c>
      <c r="H49" s="57">
        <f>G49*(1+'Rhaniad y Ddeiliadaeth (Gog)'!G$118)</f>
        <v>183430.28759485018</v>
      </c>
      <c r="L49" s="62" t="str">
        <f t="shared" si="0"/>
        <v/>
      </c>
      <c r="M49" s="239"/>
      <c r="N49" s="14">
        <f t="shared" si="3"/>
        <v>1</v>
      </c>
      <c r="T49" s="1">
        <f t="shared" si="1"/>
        <v>55</v>
      </c>
      <c r="U49" s="4" t="str">
        <f t="shared" si="2"/>
        <v/>
      </c>
      <c r="V49" s="4" t="e">
        <f>IF($V$3=$M$3,M49,U49*(1+'Rhaniad y Ddeiliadaeth (Cymru)'!C$118))</f>
        <v>#VALUE!</v>
      </c>
      <c r="W49" s="4" t="e">
        <f>V49*(1+'Rhaniad y Ddeiliadaeth (Cymru)'!D$118)</f>
        <v>#VALUE!</v>
      </c>
      <c r="X49" s="4" t="e">
        <f>W49*(1+'Rhaniad y Ddeiliadaeth (Cymru)'!E$118)</f>
        <v>#VALUE!</v>
      </c>
      <c r="Y49" s="4" t="e">
        <f>X49*(1+'Rhaniad y Ddeiliadaeth (Cymru)'!F$118)</f>
        <v>#VALUE!</v>
      </c>
      <c r="Z49" s="4" t="e">
        <f>Y49*(1+'Rhaniad y Ddeiliadaeth (Cymru)'!G$118)</f>
        <v>#VALUE!</v>
      </c>
      <c r="AB49" s="1">
        <v>55</v>
      </c>
      <c r="AC49" s="4">
        <f>IF('Rhaniad y Ddeiliadaeth (Cymru)'!$D$18="Data Cofrestrfa Tir",'Prisiau Tai (Gogledd)'!D49,'Prisiau Tai (Gogledd)'!V49)</f>
        <v>165573.2992321882</v>
      </c>
      <c r="AD49" s="4">
        <f>IF('Rhaniad y Ddeiliadaeth (Cymru)'!$D$18="Data Cofrestrfa Tir",'Prisiau Tai (Gogledd)'!E49,'Prisiau Tai (Gogledd)'!W49)</f>
        <v>165941.95724676238</v>
      </c>
      <c r="AE49" s="4">
        <f>IF('Rhaniad y Ddeiliadaeth (Cymru)'!$D$18="Data Cofrestrfa Tir",'Prisiau Tai (Gogledd)'!F49,'Prisiau Tai (Gogledd)'!X49)</f>
        <v>169513.7549972095</v>
      </c>
      <c r="AF49" s="4">
        <f>IF('Rhaniad y Ddeiliadaeth (Cymru)'!$D$18="Data Cofrestrfa Tir",'Prisiau Tai (Gogledd)'!G49,'Prisiau Tai (Gogledd)'!Y49)</f>
        <v>176124.6504949838</v>
      </c>
      <c r="AG49" s="4">
        <f>IF('Rhaniad y Ddeiliadaeth (Cymru)'!$D$18="Data Cofrestrfa Tir",'Prisiau Tai (Gogledd)'!H49,'Prisiau Tai (Gogledd)'!Z49)</f>
        <v>183430.28759485018</v>
      </c>
    </row>
    <row r="50" spans="2:33" x14ac:dyDescent="0.25">
      <c r="B50" s="20">
        <v>56</v>
      </c>
      <c r="C50" s="56">
        <v>164000</v>
      </c>
      <c r="D50" s="57">
        <f>C50*(1+'Rhaniad y Ddeiliadaeth (Gog)'!C$118)</f>
        <v>168658.51598806749</v>
      </c>
      <c r="E50" s="57">
        <f>D50*(1+'Rhaniad y Ddeiliadaeth (Gog)'!D$118)</f>
        <v>169034.04340663995</v>
      </c>
      <c r="F50" s="57">
        <f>E50*(1+'Rhaniad y Ddeiliadaeth (Gog)'!E$118)</f>
        <v>172672.39639467304</v>
      </c>
      <c r="G50" s="57">
        <f>F50*(1+'Rhaniad y Ddeiliadaeth (Gog)'!F$118)</f>
        <v>179406.47628060463</v>
      </c>
      <c r="H50" s="57">
        <f>G50*(1+'Rhaniad y Ddeiliadaeth (Gog)'!G$118)</f>
        <v>186848.24326431946</v>
      </c>
      <c r="L50" s="62" t="str">
        <f t="shared" si="0"/>
        <v/>
      </c>
      <c r="M50" s="239"/>
      <c r="N50" s="14">
        <f t="shared" si="3"/>
        <v>1</v>
      </c>
      <c r="T50" s="1">
        <f t="shared" si="1"/>
        <v>56</v>
      </c>
      <c r="U50" s="4" t="str">
        <f t="shared" si="2"/>
        <v/>
      </c>
      <c r="V50" s="4" t="e">
        <f>IF($V$3=$M$3,M50,U50*(1+'Rhaniad y Ddeiliadaeth (Cymru)'!C$118))</f>
        <v>#VALUE!</v>
      </c>
      <c r="W50" s="4" t="e">
        <f>V50*(1+'Rhaniad y Ddeiliadaeth (Cymru)'!D$118)</f>
        <v>#VALUE!</v>
      </c>
      <c r="X50" s="4" t="e">
        <f>W50*(1+'Rhaniad y Ddeiliadaeth (Cymru)'!E$118)</f>
        <v>#VALUE!</v>
      </c>
      <c r="Y50" s="4" t="e">
        <f>X50*(1+'Rhaniad y Ddeiliadaeth (Cymru)'!F$118)</f>
        <v>#VALUE!</v>
      </c>
      <c r="Z50" s="4" t="e">
        <f>Y50*(1+'Rhaniad y Ddeiliadaeth (Cymru)'!G$118)</f>
        <v>#VALUE!</v>
      </c>
      <c r="AB50" s="1">
        <v>56</v>
      </c>
      <c r="AC50" s="4">
        <f>IF('Rhaniad y Ddeiliadaeth (Cymru)'!$D$18="Data Cofrestrfa Tir",'Prisiau Tai (Gogledd)'!D50,'Prisiau Tai (Gogledd)'!V50)</f>
        <v>168658.51598806749</v>
      </c>
      <c r="AD50" s="4">
        <f>IF('Rhaniad y Ddeiliadaeth (Cymru)'!$D$18="Data Cofrestrfa Tir",'Prisiau Tai (Gogledd)'!E50,'Prisiau Tai (Gogledd)'!W50)</f>
        <v>169034.04340663995</v>
      </c>
      <c r="AE50" s="4">
        <f>IF('Rhaniad y Ddeiliadaeth (Cymru)'!$D$18="Data Cofrestrfa Tir",'Prisiau Tai (Gogledd)'!F50,'Prisiau Tai (Gogledd)'!X50)</f>
        <v>172672.39639467304</v>
      </c>
      <c r="AF50" s="4">
        <f>IF('Rhaniad y Ddeiliadaeth (Cymru)'!$D$18="Data Cofrestrfa Tir",'Prisiau Tai (Gogledd)'!G50,'Prisiau Tai (Gogledd)'!Y50)</f>
        <v>179406.47628060463</v>
      </c>
      <c r="AG50" s="4">
        <f>IF('Rhaniad y Ddeiliadaeth (Cymru)'!$D$18="Data Cofrestrfa Tir",'Prisiau Tai (Gogledd)'!H50,'Prisiau Tai (Gogledd)'!Z50)</f>
        <v>186848.24326431946</v>
      </c>
    </row>
    <row r="51" spans="2:33" x14ac:dyDescent="0.25">
      <c r="B51" s="20">
        <v>57</v>
      </c>
      <c r="C51" s="56">
        <v>165000</v>
      </c>
      <c r="D51" s="57">
        <f>C51*(1+'Rhaniad y Ddeiliadaeth (Gog)'!C$118)</f>
        <v>169686.9215733606</v>
      </c>
      <c r="E51" s="57">
        <f>D51*(1+'Rhaniad y Ddeiliadaeth (Gog)'!D$118)</f>
        <v>170064.73879326583</v>
      </c>
      <c r="F51" s="57">
        <f>E51*(1+'Rhaniad y Ddeiliadaeth (Gog)'!E$118)</f>
        <v>173725.27686049425</v>
      </c>
      <c r="G51" s="57">
        <f>F51*(1+'Rhaniad y Ddeiliadaeth (Gog)'!F$118)</f>
        <v>180500.41820914493</v>
      </c>
      <c r="H51" s="57">
        <f>G51*(1+'Rhaniad y Ddeiliadaeth (Gog)'!G$118)</f>
        <v>187987.56182080923</v>
      </c>
      <c r="L51" s="62" t="str">
        <f t="shared" si="0"/>
        <v/>
      </c>
      <c r="M51" s="239"/>
      <c r="N51" s="14">
        <f t="shared" si="3"/>
        <v>1</v>
      </c>
      <c r="T51" s="1">
        <f t="shared" si="1"/>
        <v>57</v>
      </c>
      <c r="U51" s="4" t="str">
        <f t="shared" si="2"/>
        <v/>
      </c>
      <c r="V51" s="4" t="e">
        <f>IF($V$3=$M$3,M51,U51*(1+'Rhaniad y Ddeiliadaeth (Cymru)'!C$118))</f>
        <v>#VALUE!</v>
      </c>
      <c r="W51" s="4" t="e">
        <f>V51*(1+'Rhaniad y Ddeiliadaeth (Cymru)'!D$118)</f>
        <v>#VALUE!</v>
      </c>
      <c r="X51" s="4" t="e">
        <f>W51*(1+'Rhaniad y Ddeiliadaeth (Cymru)'!E$118)</f>
        <v>#VALUE!</v>
      </c>
      <c r="Y51" s="4" t="e">
        <f>X51*(1+'Rhaniad y Ddeiliadaeth (Cymru)'!F$118)</f>
        <v>#VALUE!</v>
      </c>
      <c r="Z51" s="4" t="e">
        <f>Y51*(1+'Rhaniad y Ddeiliadaeth (Cymru)'!G$118)</f>
        <v>#VALUE!</v>
      </c>
      <c r="AB51" s="1">
        <v>57</v>
      </c>
      <c r="AC51" s="4">
        <f>IF('Rhaniad y Ddeiliadaeth (Cymru)'!$D$18="Data Cofrestrfa Tir",'Prisiau Tai (Gogledd)'!D51,'Prisiau Tai (Gogledd)'!V51)</f>
        <v>169686.9215733606</v>
      </c>
      <c r="AD51" s="4">
        <f>IF('Rhaniad y Ddeiliadaeth (Cymru)'!$D$18="Data Cofrestrfa Tir",'Prisiau Tai (Gogledd)'!E51,'Prisiau Tai (Gogledd)'!W51)</f>
        <v>170064.73879326583</v>
      </c>
      <c r="AE51" s="4">
        <f>IF('Rhaniad y Ddeiliadaeth (Cymru)'!$D$18="Data Cofrestrfa Tir",'Prisiau Tai (Gogledd)'!F51,'Prisiau Tai (Gogledd)'!X51)</f>
        <v>173725.27686049425</v>
      </c>
      <c r="AF51" s="4">
        <f>IF('Rhaniad y Ddeiliadaeth (Cymru)'!$D$18="Data Cofrestrfa Tir",'Prisiau Tai (Gogledd)'!G51,'Prisiau Tai (Gogledd)'!Y51)</f>
        <v>180500.41820914493</v>
      </c>
      <c r="AG51" s="4">
        <f>IF('Rhaniad y Ddeiliadaeth (Cymru)'!$D$18="Data Cofrestrfa Tir",'Prisiau Tai (Gogledd)'!H51,'Prisiau Tai (Gogledd)'!Z51)</f>
        <v>187987.56182080923</v>
      </c>
    </row>
    <row r="52" spans="2:33" x14ac:dyDescent="0.25">
      <c r="B52" s="20">
        <v>58</v>
      </c>
      <c r="C52" s="56">
        <v>167000</v>
      </c>
      <c r="D52" s="57">
        <f>C52*(1+'Rhaniad y Ddeiliadaeth (Gog)'!C$118)</f>
        <v>171743.73274394678</v>
      </c>
      <c r="E52" s="57">
        <f>D52*(1+'Rhaniad y Ddeiliadaeth (Gog)'!D$118)</f>
        <v>172126.12956651751</v>
      </c>
      <c r="F52" s="57">
        <f>E52*(1+'Rhaniad y Ddeiliadaeth (Gog)'!E$118)</f>
        <v>175831.03779213657</v>
      </c>
      <c r="G52" s="57">
        <f>F52*(1+'Rhaniad y Ddeiliadaeth (Gog)'!F$118)</f>
        <v>182688.30206622544</v>
      </c>
      <c r="H52" s="57">
        <f>G52*(1+'Rhaniad y Ddeiliadaeth (Gog)'!G$118)</f>
        <v>190266.19893378869</v>
      </c>
      <c r="L52" s="62" t="str">
        <f t="shared" si="0"/>
        <v/>
      </c>
      <c r="M52" s="239"/>
      <c r="N52" s="14">
        <f t="shared" si="3"/>
        <v>1</v>
      </c>
      <c r="T52" s="1">
        <f t="shared" si="1"/>
        <v>58</v>
      </c>
      <c r="U52" s="4" t="str">
        <f t="shared" si="2"/>
        <v/>
      </c>
      <c r="V52" s="4" t="e">
        <f>IF($V$3=$M$3,M52,U52*(1+'Rhaniad y Ddeiliadaeth (Cymru)'!C$118))</f>
        <v>#VALUE!</v>
      </c>
      <c r="W52" s="4" t="e">
        <f>V52*(1+'Rhaniad y Ddeiliadaeth (Cymru)'!D$118)</f>
        <v>#VALUE!</v>
      </c>
      <c r="X52" s="4" t="e">
        <f>W52*(1+'Rhaniad y Ddeiliadaeth (Cymru)'!E$118)</f>
        <v>#VALUE!</v>
      </c>
      <c r="Y52" s="4" t="e">
        <f>X52*(1+'Rhaniad y Ddeiliadaeth (Cymru)'!F$118)</f>
        <v>#VALUE!</v>
      </c>
      <c r="Z52" s="4" t="e">
        <f>Y52*(1+'Rhaniad y Ddeiliadaeth (Cymru)'!G$118)</f>
        <v>#VALUE!</v>
      </c>
      <c r="AB52" s="1">
        <v>58</v>
      </c>
      <c r="AC52" s="4">
        <f>IF('Rhaniad y Ddeiliadaeth (Cymru)'!$D$18="Data Cofrestrfa Tir",'Prisiau Tai (Gogledd)'!D52,'Prisiau Tai (Gogledd)'!V52)</f>
        <v>171743.73274394678</v>
      </c>
      <c r="AD52" s="4">
        <f>IF('Rhaniad y Ddeiliadaeth (Cymru)'!$D$18="Data Cofrestrfa Tir",'Prisiau Tai (Gogledd)'!E52,'Prisiau Tai (Gogledd)'!W52)</f>
        <v>172126.12956651751</v>
      </c>
      <c r="AE52" s="4">
        <f>IF('Rhaniad y Ddeiliadaeth (Cymru)'!$D$18="Data Cofrestrfa Tir",'Prisiau Tai (Gogledd)'!F52,'Prisiau Tai (Gogledd)'!X52)</f>
        <v>175831.03779213657</v>
      </c>
      <c r="AF52" s="4">
        <f>IF('Rhaniad y Ddeiliadaeth (Cymru)'!$D$18="Data Cofrestrfa Tir",'Prisiau Tai (Gogledd)'!G52,'Prisiau Tai (Gogledd)'!Y52)</f>
        <v>182688.30206622544</v>
      </c>
      <c r="AG52" s="4">
        <f>IF('Rhaniad y Ddeiliadaeth (Cymru)'!$D$18="Data Cofrestrfa Tir",'Prisiau Tai (Gogledd)'!H52,'Prisiau Tai (Gogledd)'!Z52)</f>
        <v>190266.19893378869</v>
      </c>
    </row>
    <row r="53" spans="2:33" x14ac:dyDescent="0.25">
      <c r="B53" s="20">
        <v>59</v>
      </c>
      <c r="C53" s="56">
        <v>169950</v>
      </c>
      <c r="D53" s="57">
        <f>C53*(1+'Rhaniad y Ddeiliadaeth (Gog)'!C$118)</f>
        <v>174777.52922056141</v>
      </c>
      <c r="E53" s="57">
        <f>D53*(1+'Rhaniad y Ddeiliadaeth (Gog)'!D$118)</f>
        <v>175166.6809570638</v>
      </c>
      <c r="F53" s="57">
        <f>E53*(1+'Rhaniad y Ddeiliadaeth (Gog)'!E$118)</f>
        <v>178937.03516630907</v>
      </c>
      <c r="G53" s="57">
        <f>F53*(1+'Rhaniad y Ddeiliadaeth (Gog)'!F$118)</f>
        <v>185915.43075541928</v>
      </c>
      <c r="H53" s="57">
        <f>G53*(1+'Rhaniad y Ddeiliadaeth (Gog)'!G$118)</f>
        <v>193627.18867543351</v>
      </c>
      <c r="L53" s="62" t="str">
        <f t="shared" si="0"/>
        <v/>
      </c>
      <c r="M53" s="239"/>
      <c r="N53" s="14">
        <f t="shared" si="3"/>
        <v>1</v>
      </c>
      <c r="T53" s="1">
        <f t="shared" si="1"/>
        <v>59</v>
      </c>
      <c r="U53" s="4" t="str">
        <f t="shared" si="2"/>
        <v/>
      </c>
      <c r="V53" s="4" t="e">
        <f>IF($V$3=$M$3,M53,U53*(1+'Rhaniad y Ddeiliadaeth (Cymru)'!C$118))</f>
        <v>#VALUE!</v>
      </c>
      <c r="W53" s="4" t="e">
        <f>V53*(1+'Rhaniad y Ddeiliadaeth (Cymru)'!D$118)</f>
        <v>#VALUE!</v>
      </c>
      <c r="X53" s="4" t="e">
        <f>W53*(1+'Rhaniad y Ddeiliadaeth (Cymru)'!E$118)</f>
        <v>#VALUE!</v>
      </c>
      <c r="Y53" s="4" t="e">
        <f>X53*(1+'Rhaniad y Ddeiliadaeth (Cymru)'!F$118)</f>
        <v>#VALUE!</v>
      </c>
      <c r="Z53" s="4" t="e">
        <f>Y53*(1+'Rhaniad y Ddeiliadaeth (Cymru)'!G$118)</f>
        <v>#VALUE!</v>
      </c>
      <c r="AB53" s="1">
        <v>59</v>
      </c>
      <c r="AC53" s="4">
        <f>IF('Rhaniad y Ddeiliadaeth (Cymru)'!$D$18="Data Cofrestrfa Tir",'Prisiau Tai (Gogledd)'!D53,'Prisiau Tai (Gogledd)'!V53)</f>
        <v>174777.52922056141</v>
      </c>
      <c r="AD53" s="4">
        <f>IF('Rhaniad y Ddeiliadaeth (Cymru)'!$D$18="Data Cofrestrfa Tir",'Prisiau Tai (Gogledd)'!E53,'Prisiau Tai (Gogledd)'!W53)</f>
        <v>175166.6809570638</v>
      </c>
      <c r="AE53" s="4">
        <f>IF('Rhaniad y Ddeiliadaeth (Cymru)'!$D$18="Data Cofrestrfa Tir",'Prisiau Tai (Gogledd)'!F53,'Prisiau Tai (Gogledd)'!X53)</f>
        <v>178937.03516630907</v>
      </c>
      <c r="AF53" s="4">
        <f>IF('Rhaniad y Ddeiliadaeth (Cymru)'!$D$18="Data Cofrestrfa Tir",'Prisiau Tai (Gogledd)'!G53,'Prisiau Tai (Gogledd)'!Y53)</f>
        <v>185915.43075541928</v>
      </c>
      <c r="AG53" s="4">
        <f>IF('Rhaniad y Ddeiliadaeth (Cymru)'!$D$18="Data Cofrestrfa Tir",'Prisiau Tai (Gogledd)'!H53,'Prisiau Tai (Gogledd)'!Z53)</f>
        <v>193627.18867543351</v>
      </c>
    </row>
    <row r="54" spans="2:33" x14ac:dyDescent="0.25">
      <c r="B54" s="20">
        <v>60</v>
      </c>
      <c r="C54" s="56">
        <v>170000</v>
      </c>
      <c r="D54" s="57">
        <f>C54*(1+'Rhaniad y Ddeiliadaeth (Gog)'!C$118)</f>
        <v>174828.94949982606</v>
      </c>
      <c r="E54" s="57">
        <f>D54*(1+'Rhaniad y Ddeiliadaeth (Gog)'!D$118)</f>
        <v>175218.21572639508</v>
      </c>
      <c r="F54" s="57">
        <f>E54*(1+'Rhaniad y Ddeiliadaeth (Gog)'!E$118)</f>
        <v>178989.67918960011</v>
      </c>
      <c r="G54" s="57">
        <f>F54*(1+'Rhaniad y Ddeiliadaeth (Gog)'!F$118)</f>
        <v>185970.12785184628</v>
      </c>
      <c r="H54" s="57">
        <f>G54*(1+'Rhaniad y Ddeiliadaeth (Gog)'!G$118)</f>
        <v>193684.15460325798</v>
      </c>
      <c r="L54" s="62" t="str">
        <f t="shared" si="0"/>
        <v/>
      </c>
      <c r="M54" s="239"/>
      <c r="N54" s="14">
        <f t="shared" si="3"/>
        <v>1</v>
      </c>
      <c r="T54" s="1">
        <f t="shared" si="1"/>
        <v>60</v>
      </c>
      <c r="U54" s="4" t="str">
        <f t="shared" si="2"/>
        <v/>
      </c>
      <c r="V54" s="4" t="e">
        <f>IF($V$3=$M$3,M54,U54*(1+'Rhaniad y Ddeiliadaeth (Cymru)'!C$118))</f>
        <v>#VALUE!</v>
      </c>
      <c r="W54" s="4" t="e">
        <f>V54*(1+'Rhaniad y Ddeiliadaeth (Cymru)'!D$118)</f>
        <v>#VALUE!</v>
      </c>
      <c r="X54" s="4" t="e">
        <f>W54*(1+'Rhaniad y Ddeiliadaeth (Cymru)'!E$118)</f>
        <v>#VALUE!</v>
      </c>
      <c r="Y54" s="4" t="e">
        <f>X54*(1+'Rhaniad y Ddeiliadaeth (Cymru)'!F$118)</f>
        <v>#VALUE!</v>
      </c>
      <c r="Z54" s="4" t="e">
        <f>Y54*(1+'Rhaniad y Ddeiliadaeth (Cymru)'!G$118)</f>
        <v>#VALUE!</v>
      </c>
      <c r="AB54" s="1">
        <v>60</v>
      </c>
      <c r="AC54" s="4">
        <f>IF('Rhaniad y Ddeiliadaeth (Cymru)'!$D$18="Data Cofrestrfa Tir",'Prisiau Tai (Gogledd)'!D54,'Prisiau Tai (Gogledd)'!V54)</f>
        <v>174828.94949982606</v>
      </c>
      <c r="AD54" s="4">
        <f>IF('Rhaniad y Ddeiliadaeth (Cymru)'!$D$18="Data Cofrestrfa Tir",'Prisiau Tai (Gogledd)'!E54,'Prisiau Tai (Gogledd)'!W54)</f>
        <v>175218.21572639508</v>
      </c>
      <c r="AE54" s="4">
        <f>IF('Rhaniad y Ddeiliadaeth (Cymru)'!$D$18="Data Cofrestrfa Tir",'Prisiau Tai (Gogledd)'!F54,'Prisiau Tai (Gogledd)'!X54)</f>
        <v>178989.67918960011</v>
      </c>
      <c r="AF54" s="4">
        <f>IF('Rhaniad y Ddeiliadaeth (Cymru)'!$D$18="Data Cofrestrfa Tir",'Prisiau Tai (Gogledd)'!G54,'Prisiau Tai (Gogledd)'!Y54)</f>
        <v>185970.12785184628</v>
      </c>
      <c r="AG54" s="4">
        <f>IF('Rhaniad y Ddeiliadaeth (Cymru)'!$D$18="Data Cofrestrfa Tir",'Prisiau Tai (Gogledd)'!H54,'Prisiau Tai (Gogledd)'!Z54)</f>
        <v>193684.15460325798</v>
      </c>
    </row>
    <row r="55" spans="2:33" x14ac:dyDescent="0.25">
      <c r="B55" s="20">
        <v>61</v>
      </c>
      <c r="C55" s="56">
        <v>173000</v>
      </c>
      <c r="D55" s="57">
        <f>C55*(1+'Rhaniad y Ddeiliadaeth (Gog)'!C$118)</f>
        <v>177914.16625570535</v>
      </c>
      <c r="E55" s="57">
        <f>D55*(1+'Rhaniad y Ddeiliadaeth (Gog)'!D$118)</f>
        <v>178310.30188627265</v>
      </c>
      <c r="F55" s="57">
        <f>E55*(1+'Rhaniad y Ddeiliadaeth (Gog)'!E$118)</f>
        <v>182148.32058706364</v>
      </c>
      <c r="G55" s="57">
        <f>F55*(1+'Rhaniad y Ddeiliadaeth (Gog)'!F$118)</f>
        <v>189251.95363746709</v>
      </c>
      <c r="H55" s="57">
        <f>G55*(1+'Rhaniad y Ddeiliadaeth (Gog)'!G$118)</f>
        <v>197102.11027272724</v>
      </c>
      <c r="L55" s="62" t="str">
        <f t="shared" si="0"/>
        <v/>
      </c>
      <c r="M55" s="239"/>
      <c r="N55" s="14">
        <f t="shared" si="3"/>
        <v>1</v>
      </c>
      <c r="T55" s="1">
        <f t="shared" si="1"/>
        <v>61</v>
      </c>
      <c r="U55" s="4" t="str">
        <f t="shared" si="2"/>
        <v/>
      </c>
      <c r="V55" s="4" t="e">
        <f>IF($V$3=$M$3,M55,U55*(1+'Rhaniad y Ddeiliadaeth (Cymru)'!C$118))</f>
        <v>#VALUE!</v>
      </c>
      <c r="W55" s="4" t="e">
        <f>V55*(1+'Rhaniad y Ddeiliadaeth (Cymru)'!D$118)</f>
        <v>#VALUE!</v>
      </c>
      <c r="X55" s="4" t="e">
        <f>W55*(1+'Rhaniad y Ddeiliadaeth (Cymru)'!E$118)</f>
        <v>#VALUE!</v>
      </c>
      <c r="Y55" s="4" t="e">
        <f>X55*(1+'Rhaniad y Ddeiliadaeth (Cymru)'!F$118)</f>
        <v>#VALUE!</v>
      </c>
      <c r="Z55" s="4" t="e">
        <f>Y55*(1+'Rhaniad y Ddeiliadaeth (Cymru)'!G$118)</f>
        <v>#VALUE!</v>
      </c>
      <c r="AB55" s="1">
        <v>61</v>
      </c>
      <c r="AC55" s="4">
        <f>IF('Rhaniad y Ddeiliadaeth (Cymru)'!$D$18="Data Cofrestrfa Tir",'Prisiau Tai (Gogledd)'!D55,'Prisiau Tai (Gogledd)'!V55)</f>
        <v>177914.16625570535</v>
      </c>
      <c r="AD55" s="4">
        <f>IF('Rhaniad y Ddeiliadaeth (Cymru)'!$D$18="Data Cofrestrfa Tir",'Prisiau Tai (Gogledd)'!E55,'Prisiau Tai (Gogledd)'!W55)</f>
        <v>178310.30188627265</v>
      </c>
      <c r="AE55" s="4">
        <f>IF('Rhaniad y Ddeiliadaeth (Cymru)'!$D$18="Data Cofrestrfa Tir",'Prisiau Tai (Gogledd)'!F55,'Prisiau Tai (Gogledd)'!X55)</f>
        <v>182148.32058706364</v>
      </c>
      <c r="AF55" s="4">
        <f>IF('Rhaniad y Ddeiliadaeth (Cymru)'!$D$18="Data Cofrestrfa Tir",'Prisiau Tai (Gogledd)'!G55,'Prisiau Tai (Gogledd)'!Y55)</f>
        <v>189251.95363746709</v>
      </c>
      <c r="AG55" s="4">
        <f>IF('Rhaniad y Ddeiliadaeth (Cymru)'!$D$18="Data Cofrestrfa Tir",'Prisiau Tai (Gogledd)'!H55,'Prisiau Tai (Gogledd)'!Z55)</f>
        <v>197102.11027272724</v>
      </c>
    </row>
    <row r="56" spans="2:33" x14ac:dyDescent="0.25">
      <c r="B56" s="20">
        <v>62</v>
      </c>
      <c r="C56" s="56">
        <v>175000</v>
      </c>
      <c r="D56" s="57">
        <f>C56*(1+'Rhaniad y Ddeiliadaeth (Gog)'!C$118)</f>
        <v>179970.97742629153</v>
      </c>
      <c r="E56" s="57">
        <f>D56*(1+'Rhaniad y Ddeiliadaeth (Gog)'!D$118)</f>
        <v>180371.69265952436</v>
      </c>
      <c r="F56" s="57">
        <f>E56*(1+'Rhaniad y Ddeiliadaeth (Gog)'!E$118)</f>
        <v>184254.08151870602</v>
      </c>
      <c r="G56" s="57">
        <f>F56*(1+'Rhaniad y Ddeiliadaeth (Gog)'!F$118)</f>
        <v>191439.83749454765</v>
      </c>
      <c r="H56" s="57">
        <f>G56*(1+'Rhaniad y Ddeiliadaeth (Gog)'!G$118)</f>
        <v>199380.74738570675</v>
      </c>
      <c r="L56" s="62" t="str">
        <f t="shared" si="0"/>
        <v/>
      </c>
      <c r="M56" s="239"/>
      <c r="N56" s="14">
        <f t="shared" si="3"/>
        <v>1</v>
      </c>
      <c r="T56" s="1">
        <f t="shared" si="1"/>
        <v>62</v>
      </c>
      <c r="U56" s="4" t="str">
        <f t="shared" si="2"/>
        <v/>
      </c>
      <c r="V56" s="4" t="e">
        <f>IF($V$3=$M$3,M56,U56*(1+'Rhaniad y Ddeiliadaeth (Cymru)'!C$118))</f>
        <v>#VALUE!</v>
      </c>
      <c r="W56" s="4" t="e">
        <f>V56*(1+'Rhaniad y Ddeiliadaeth (Cymru)'!D$118)</f>
        <v>#VALUE!</v>
      </c>
      <c r="X56" s="4" t="e">
        <f>W56*(1+'Rhaniad y Ddeiliadaeth (Cymru)'!E$118)</f>
        <v>#VALUE!</v>
      </c>
      <c r="Y56" s="4" t="e">
        <f>X56*(1+'Rhaniad y Ddeiliadaeth (Cymru)'!F$118)</f>
        <v>#VALUE!</v>
      </c>
      <c r="Z56" s="4" t="e">
        <f>Y56*(1+'Rhaniad y Ddeiliadaeth (Cymru)'!G$118)</f>
        <v>#VALUE!</v>
      </c>
      <c r="AB56" s="1">
        <v>62</v>
      </c>
      <c r="AC56" s="4">
        <f>IF('Rhaniad y Ddeiliadaeth (Cymru)'!$D$18="Data Cofrestrfa Tir",'Prisiau Tai (Gogledd)'!D56,'Prisiau Tai (Gogledd)'!V56)</f>
        <v>179970.97742629153</v>
      </c>
      <c r="AD56" s="4">
        <f>IF('Rhaniad y Ddeiliadaeth (Cymru)'!$D$18="Data Cofrestrfa Tir",'Prisiau Tai (Gogledd)'!E56,'Prisiau Tai (Gogledd)'!W56)</f>
        <v>180371.69265952436</v>
      </c>
      <c r="AE56" s="4">
        <f>IF('Rhaniad y Ddeiliadaeth (Cymru)'!$D$18="Data Cofrestrfa Tir",'Prisiau Tai (Gogledd)'!F56,'Prisiau Tai (Gogledd)'!X56)</f>
        <v>184254.08151870602</v>
      </c>
      <c r="AF56" s="4">
        <f>IF('Rhaniad y Ddeiliadaeth (Cymru)'!$D$18="Data Cofrestrfa Tir",'Prisiau Tai (Gogledd)'!G56,'Prisiau Tai (Gogledd)'!Y56)</f>
        <v>191439.83749454765</v>
      </c>
      <c r="AG56" s="4">
        <f>IF('Rhaniad y Ddeiliadaeth (Cymru)'!$D$18="Data Cofrestrfa Tir",'Prisiau Tai (Gogledd)'!H56,'Prisiau Tai (Gogledd)'!Z56)</f>
        <v>199380.74738570675</v>
      </c>
    </row>
    <row r="57" spans="2:33" x14ac:dyDescent="0.25">
      <c r="B57" s="20">
        <v>63</v>
      </c>
      <c r="C57" s="56">
        <v>177000</v>
      </c>
      <c r="D57" s="57">
        <f>C57*(1+'Rhaniad y Ddeiliadaeth (Gog)'!C$118)</f>
        <v>182027.78859687771</v>
      </c>
      <c r="E57" s="57">
        <f>D57*(1+'Rhaniad y Ddeiliadaeth (Gog)'!D$118)</f>
        <v>182433.08343277604</v>
      </c>
      <c r="F57" s="57">
        <f>E57*(1+'Rhaniad y Ddeiliadaeth (Gog)'!E$118)</f>
        <v>186359.84245034834</v>
      </c>
      <c r="G57" s="57">
        <f>F57*(1+'Rhaniad y Ddeiliadaeth (Gog)'!F$118)</f>
        <v>193627.72135162816</v>
      </c>
      <c r="H57" s="57">
        <f>G57*(1+'Rhaniad y Ddeiliadaeth (Gog)'!G$118)</f>
        <v>201659.38449868621</v>
      </c>
      <c r="L57" s="62" t="str">
        <f t="shared" si="0"/>
        <v/>
      </c>
      <c r="M57" s="239"/>
      <c r="N57" s="14">
        <f t="shared" si="3"/>
        <v>1</v>
      </c>
      <c r="T57" s="1">
        <f t="shared" si="1"/>
        <v>63</v>
      </c>
      <c r="U57" s="4" t="str">
        <f t="shared" si="2"/>
        <v/>
      </c>
      <c r="V57" s="4" t="e">
        <f>IF($V$3=$M$3,M57,U57*(1+'Rhaniad y Ddeiliadaeth (Cymru)'!C$118))</f>
        <v>#VALUE!</v>
      </c>
      <c r="W57" s="4" t="e">
        <f>V57*(1+'Rhaniad y Ddeiliadaeth (Cymru)'!D$118)</f>
        <v>#VALUE!</v>
      </c>
      <c r="X57" s="4" t="e">
        <f>W57*(1+'Rhaniad y Ddeiliadaeth (Cymru)'!E$118)</f>
        <v>#VALUE!</v>
      </c>
      <c r="Y57" s="4" t="e">
        <f>X57*(1+'Rhaniad y Ddeiliadaeth (Cymru)'!F$118)</f>
        <v>#VALUE!</v>
      </c>
      <c r="Z57" s="4" t="e">
        <f>Y57*(1+'Rhaniad y Ddeiliadaeth (Cymru)'!G$118)</f>
        <v>#VALUE!</v>
      </c>
      <c r="AB57" s="1">
        <v>63</v>
      </c>
      <c r="AC57" s="4">
        <f>IF('Rhaniad y Ddeiliadaeth (Cymru)'!$D$18="Data Cofrestrfa Tir",'Prisiau Tai (Gogledd)'!D57,'Prisiau Tai (Gogledd)'!V57)</f>
        <v>182027.78859687771</v>
      </c>
      <c r="AD57" s="4">
        <f>IF('Rhaniad y Ddeiliadaeth (Cymru)'!$D$18="Data Cofrestrfa Tir",'Prisiau Tai (Gogledd)'!E57,'Prisiau Tai (Gogledd)'!W57)</f>
        <v>182433.08343277604</v>
      </c>
      <c r="AE57" s="4">
        <f>IF('Rhaniad y Ddeiliadaeth (Cymru)'!$D$18="Data Cofrestrfa Tir",'Prisiau Tai (Gogledd)'!F57,'Prisiau Tai (Gogledd)'!X57)</f>
        <v>186359.84245034834</v>
      </c>
      <c r="AF57" s="4">
        <f>IF('Rhaniad y Ddeiliadaeth (Cymru)'!$D$18="Data Cofrestrfa Tir",'Prisiau Tai (Gogledd)'!G57,'Prisiau Tai (Gogledd)'!Y57)</f>
        <v>193627.72135162816</v>
      </c>
      <c r="AG57" s="4">
        <f>IF('Rhaniad y Ddeiliadaeth (Cymru)'!$D$18="Data Cofrestrfa Tir",'Prisiau Tai (Gogledd)'!H57,'Prisiau Tai (Gogledd)'!Z57)</f>
        <v>201659.38449868621</v>
      </c>
    </row>
    <row r="58" spans="2:33" x14ac:dyDescent="0.25">
      <c r="B58" s="20">
        <v>64</v>
      </c>
      <c r="C58" s="56">
        <v>180000</v>
      </c>
      <c r="D58" s="57">
        <f>C58*(1+'Rhaniad y Ddeiliadaeth (Gog)'!C$118)</f>
        <v>185113.005352757</v>
      </c>
      <c r="E58" s="57">
        <f>D58*(1+'Rhaniad y Ddeiliadaeth (Gog)'!D$118)</f>
        <v>185525.1695926536</v>
      </c>
      <c r="F58" s="57">
        <f>E58*(1+'Rhaniad y Ddeiliadaeth (Gog)'!E$118)</f>
        <v>189518.48384781188</v>
      </c>
      <c r="G58" s="57">
        <f>F58*(1+'Rhaniad y Ddeiliadaeth (Gog)'!F$118)</f>
        <v>196909.54713724897</v>
      </c>
      <c r="H58" s="57">
        <f>G58*(1+'Rhaniad y Ddeiliadaeth (Gog)'!G$118)</f>
        <v>205077.34016815547</v>
      </c>
      <c r="L58" s="62" t="str">
        <f t="shared" si="0"/>
        <v/>
      </c>
      <c r="M58" s="239"/>
      <c r="N58" s="14">
        <f t="shared" si="3"/>
        <v>1</v>
      </c>
      <c r="T58" s="1">
        <f t="shared" si="1"/>
        <v>64</v>
      </c>
      <c r="U58" s="4" t="str">
        <f t="shared" si="2"/>
        <v/>
      </c>
      <c r="V58" s="4" t="e">
        <f>IF($V$3=$M$3,M58,U58*(1+'Rhaniad y Ddeiliadaeth (Cymru)'!C$118))</f>
        <v>#VALUE!</v>
      </c>
      <c r="W58" s="4" t="e">
        <f>V58*(1+'Rhaniad y Ddeiliadaeth (Cymru)'!D$118)</f>
        <v>#VALUE!</v>
      </c>
      <c r="X58" s="4" t="e">
        <f>W58*(1+'Rhaniad y Ddeiliadaeth (Cymru)'!E$118)</f>
        <v>#VALUE!</v>
      </c>
      <c r="Y58" s="4" t="e">
        <f>X58*(1+'Rhaniad y Ddeiliadaeth (Cymru)'!F$118)</f>
        <v>#VALUE!</v>
      </c>
      <c r="Z58" s="4" t="e">
        <f>Y58*(1+'Rhaniad y Ddeiliadaeth (Cymru)'!G$118)</f>
        <v>#VALUE!</v>
      </c>
      <c r="AB58" s="1">
        <v>64</v>
      </c>
      <c r="AC58" s="4">
        <f>IF('Rhaniad y Ddeiliadaeth (Cymru)'!$D$18="Data Cofrestrfa Tir",'Prisiau Tai (Gogledd)'!D58,'Prisiau Tai (Gogledd)'!V58)</f>
        <v>185113.005352757</v>
      </c>
      <c r="AD58" s="4">
        <f>IF('Rhaniad y Ddeiliadaeth (Cymru)'!$D$18="Data Cofrestrfa Tir",'Prisiau Tai (Gogledd)'!E58,'Prisiau Tai (Gogledd)'!W58)</f>
        <v>185525.1695926536</v>
      </c>
      <c r="AE58" s="4">
        <f>IF('Rhaniad y Ddeiliadaeth (Cymru)'!$D$18="Data Cofrestrfa Tir",'Prisiau Tai (Gogledd)'!F58,'Prisiau Tai (Gogledd)'!X58)</f>
        <v>189518.48384781188</v>
      </c>
      <c r="AF58" s="4">
        <f>IF('Rhaniad y Ddeiliadaeth (Cymru)'!$D$18="Data Cofrestrfa Tir",'Prisiau Tai (Gogledd)'!G58,'Prisiau Tai (Gogledd)'!Y58)</f>
        <v>196909.54713724897</v>
      </c>
      <c r="AG58" s="4">
        <f>IF('Rhaniad y Ddeiliadaeth (Cymru)'!$D$18="Data Cofrestrfa Tir",'Prisiau Tai (Gogledd)'!H58,'Prisiau Tai (Gogledd)'!Z58)</f>
        <v>205077.34016815547</v>
      </c>
    </row>
    <row r="59" spans="2:33" x14ac:dyDescent="0.25">
      <c r="B59" s="20">
        <v>65</v>
      </c>
      <c r="C59" s="56">
        <v>180970.50000000015</v>
      </c>
      <c r="D59" s="57">
        <f>C59*(1+'Rhaniad y Ddeiliadaeth (Gog)'!C$118)</f>
        <v>186111.07297328408</v>
      </c>
      <c r="E59" s="57">
        <f>D59*(1+'Rhaniad y Ddeiliadaeth (Gog)'!D$118)</f>
        <v>186525.45946537415</v>
      </c>
      <c r="F59" s="57">
        <f>E59*(1+'Rhaniad y Ddeiliadaeth (Gog)'!E$118)</f>
        <v>190540.3043398915</v>
      </c>
      <c r="G59" s="57">
        <f>F59*(1+'Rhaniad y Ddeiliadaeth (Gog)'!F$118)</f>
        <v>197971.2177788975</v>
      </c>
      <c r="H59" s="57">
        <f>G59*(1+'Rhaniad y Ddeiliadaeth (Gog)'!G$118)</f>
        <v>206183.04882722898</v>
      </c>
      <c r="L59" s="62" t="str">
        <f t="shared" si="0"/>
        <v/>
      </c>
      <c r="M59" s="239"/>
      <c r="N59" s="14">
        <f t="shared" si="3"/>
        <v>1</v>
      </c>
      <c r="T59" s="1">
        <f t="shared" si="1"/>
        <v>65</v>
      </c>
      <c r="U59" s="4" t="str">
        <f t="shared" si="2"/>
        <v/>
      </c>
      <c r="V59" s="4" t="e">
        <f>IF($V$3=$M$3,M59,U59*(1+'Rhaniad y Ddeiliadaeth (Cymru)'!C$118))</f>
        <v>#VALUE!</v>
      </c>
      <c r="W59" s="4" t="e">
        <f>V59*(1+'Rhaniad y Ddeiliadaeth (Cymru)'!D$118)</f>
        <v>#VALUE!</v>
      </c>
      <c r="X59" s="4" t="e">
        <f>W59*(1+'Rhaniad y Ddeiliadaeth (Cymru)'!E$118)</f>
        <v>#VALUE!</v>
      </c>
      <c r="Y59" s="4" t="e">
        <f>X59*(1+'Rhaniad y Ddeiliadaeth (Cymru)'!F$118)</f>
        <v>#VALUE!</v>
      </c>
      <c r="Z59" s="4" t="e">
        <f>Y59*(1+'Rhaniad y Ddeiliadaeth (Cymru)'!G$118)</f>
        <v>#VALUE!</v>
      </c>
      <c r="AB59" s="1">
        <v>65</v>
      </c>
      <c r="AC59" s="4">
        <f>IF('Rhaniad y Ddeiliadaeth (Cymru)'!$D$18="Data Cofrestrfa Tir",'Prisiau Tai (Gogledd)'!D59,'Prisiau Tai (Gogledd)'!V59)</f>
        <v>186111.07297328408</v>
      </c>
      <c r="AD59" s="4">
        <f>IF('Rhaniad y Ddeiliadaeth (Cymru)'!$D$18="Data Cofrestrfa Tir",'Prisiau Tai (Gogledd)'!E59,'Prisiau Tai (Gogledd)'!W59)</f>
        <v>186525.45946537415</v>
      </c>
      <c r="AE59" s="4">
        <f>IF('Rhaniad y Ddeiliadaeth (Cymru)'!$D$18="Data Cofrestrfa Tir",'Prisiau Tai (Gogledd)'!F59,'Prisiau Tai (Gogledd)'!X59)</f>
        <v>190540.3043398915</v>
      </c>
      <c r="AF59" s="4">
        <f>IF('Rhaniad y Ddeiliadaeth (Cymru)'!$D$18="Data Cofrestrfa Tir",'Prisiau Tai (Gogledd)'!G59,'Prisiau Tai (Gogledd)'!Y59)</f>
        <v>197971.2177788975</v>
      </c>
      <c r="AG59" s="4">
        <f>IF('Rhaniad y Ddeiliadaeth (Cymru)'!$D$18="Data Cofrestrfa Tir",'Prisiau Tai (Gogledd)'!H59,'Prisiau Tai (Gogledd)'!Z59)</f>
        <v>206183.04882722898</v>
      </c>
    </row>
    <row r="60" spans="2:33" x14ac:dyDescent="0.25">
      <c r="B60" s="20">
        <v>66</v>
      </c>
      <c r="C60" s="56">
        <v>185000</v>
      </c>
      <c r="D60" s="57">
        <f>C60*(1+'Rhaniad y Ddeiliadaeth (Gog)'!C$118)</f>
        <v>190255.03327922247</v>
      </c>
      <c r="E60" s="57">
        <f>D60*(1+'Rhaniad y Ddeiliadaeth (Gog)'!D$118)</f>
        <v>190678.64652578288</v>
      </c>
      <c r="F60" s="57">
        <f>E60*(1+'Rhaniad y Ddeiliadaeth (Gog)'!E$118)</f>
        <v>194782.88617691779</v>
      </c>
      <c r="G60" s="57">
        <f>F60*(1+'Rhaniad y Ddeiliadaeth (Gog)'!F$118)</f>
        <v>202379.25677995037</v>
      </c>
      <c r="H60" s="57">
        <f>G60*(1+'Rhaniad y Ddeiliadaeth (Gog)'!G$118)</f>
        <v>210773.93295060427</v>
      </c>
      <c r="L60" s="62" t="str">
        <f t="shared" si="0"/>
        <v/>
      </c>
      <c r="M60" s="239"/>
      <c r="N60" s="14">
        <f t="shared" si="3"/>
        <v>1</v>
      </c>
      <c r="T60" s="1">
        <f t="shared" si="1"/>
        <v>66</v>
      </c>
      <c r="U60" s="4" t="str">
        <f t="shared" si="2"/>
        <v/>
      </c>
      <c r="V60" s="4" t="e">
        <f>IF($V$3=$M$3,M60,U60*(1+'Rhaniad y Ddeiliadaeth (Cymru)'!C$118))</f>
        <v>#VALUE!</v>
      </c>
      <c r="W60" s="4" t="e">
        <f>V60*(1+'Rhaniad y Ddeiliadaeth (Cymru)'!D$118)</f>
        <v>#VALUE!</v>
      </c>
      <c r="X60" s="4" t="e">
        <f>W60*(1+'Rhaniad y Ddeiliadaeth (Cymru)'!E$118)</f>
        <v>#VALUE!</v>
      </c>
      <c r="Y60" s="4" t="e">
        <f>X60*(1+'Rhaniad y Ddeiliadaeth (Cymru)'!F$118)</f>
        <v>#VALUE!</v>
      </c>
      <c r="Z60" s="4" t="e">
        <f>Y60*(1+'Rhaniad y Ddeiliadaeth (Cymru)'!G$118)</f>
        <v>#VALUE!</v>
      </c>
      <c r="AB60" s="1">
        <v>66</v>
      </c>
      <c r="AC60" s="4">
        <f>IF('Rhaniad y Ddeiliadaeth (Cymru)'!$D$18="Data Cofrestrfa Tir",'Prisiau Tai (Gogledd)'!D60,'Prisiau Tai (Gogledd)'!V60)</f>
        <v>190255.03327922247</v>
      </c>
      <c r="AD60" s="4">
        <f>IF('Rhaniad y Ddeiliadaeth (Cymru)'!$D$18="Data Cofrestrfa Tir",'Prisiau Tai (Gogledd)'!E60,'Prisiau Tai (Gogledd)'!W60)</f>
        <v>190678.64652578288</v>
      </c>
      <c r="AE60" s="4">
        <f>IF('Rhaniad y Ddeiliadaeth (Cymru)'!$D$18="Data Cofrestrfa Tir",'Prisiau Tai (Gogledd)'!F60,'Prisiau Tai (Gogledd)'!X60)</f>
        <v>194782.88617691779</v>
      </c>
      <c r="AF60" s="4">
        <f>IF('Rhaniad y Ddeiliadaeth (Cymru)'!$D$18="Data Cofrestrfa Tir",'Prisiau Tai (Gogledd)'!G60,'Prisiau Tai (Gogledd)'!Y60)</f>
        <v>202379.25677995037</v>
      </c>
      <c r="AG60" s="4">
        <f>IF('Rhaniad y Ddeiliadaeth (Cymru)'!$D$18="Data Cofrestrfa Tir",'Prisiau Tai (Gogledd)'!H60,'Prisiau Tai (Gogledd)'!Z60)</f>
        <v>210773.93295060427</v>
      </c>
    </row>
    <row r="61" spans="2:33" x14ac:dyDescent="0.25">
      <c r="B61" s="20">
        <v>67</v>
      </c>
      <c r="C61" s="56">
        <v>185000</v>
      </c>
      <c r="D61" s="57">
        <f>C61*(1+'Rhaniad y Ddeiliadaeth (Gog)'!C$118)</f>
        <v>190255.03327922247</v>
      </c>
      <c r="E61" s="57">
        <f>D61*(1+'Rhaniad y Ddeiliadaeth (Gog)'!D$118)</f>
        <v>190678.64652578288</v>
      </c>
      <c r="F61" s="57">
        <f>E61*(1+'Rhaniad y Ddeiliadaeth (Gog)'!E$118)</f>
        <v>194782.88617691779</v>
      </c>
      <c r="G61" s="57">
        <f>F61*(1+'Rhaniad y Ddeiliadaeth (Gog)'!F$118)</f>
        <v>202379.25677995037</v>
      </c>
      <c r="H61" s="57">
        <f>G61*(1+'Rhaniad y Ddeiliadaeth (Gog)'!G$118)</f>
        <v>210773.93295060427</v>
      </c>
      <c r="L61" s="62" t="str">
        <f t="shared" si="0"/>
        <v/>
      </c>
      <c r="M61" s="239"/>
      <c r="N61" s="14">
        <f t="shared" si="3"/>
        <v>1</v>
      </c>
      <c r="T61" s="1">
        <f t="shared" si="1"/>
        <v>67</v>
      </c>
      <c r="U61" s="4" t="str">
        <f t="shared" si="2"/>
        <v/>
      </c>
      <c r="V61" s="4" t="e">
        <f>IF($V$3=$M$3,M61,U61*(1+'Rhaniad y Ddeiliadaeth (Cymru)'!C$118))</f>
        <v>#VALUE!</v>
      </c>
      <c r="W61" s="4" t="e">
        <f>V61*(1+'Rhaniad y Ddeiliadaeth (Cymru)'!D$118)</f>
        <v>#VALUE!</v>
      </c>
      <c r="X61" s="4" t="e">
        <f>W61*(1+'Rhaniad y Ddeiliadaeth (Cymru)'!E$118)</f>
        <v>#VALUE!</v>
      </c>
      <c r="Y61" s="4" t="e">
        <f>X61*(1+'Rhaniad y Ddeiliadaeth (Cymru)'!F$118)</f>
        <v>#VALUE!</v>
      </c>
      <c r="Z61" s="4" t="e">
        <f>Y61*(1+'Rhaniad y Ddeiliadaeth (Cymru)'!G$118)</f>
        <v>#VALUE!</v>
      </c>
      <c r="AB61" s="1">
        <v>67</v>
      </c>
      <c r="AC61" s="4">
        <f>IF('Rhaniad y Ddeiliadaeth (Cymru)'!$D$18="Data Cofrestrfa Tir",'Prisiau Tai (Gogledd)'!D61,'Prisiau Tai (Gogledd)'!V61)</f>
        <v>190255.03327922247</v>
      </c>
      <c r="AD61" s="4">
        <f>IF('Rhaniad y Ddeiliadaeth (Cymru)'!$D$18="Data Cofrestrfa Tir",'Prisiau Tai (Gogledd)'!E61,'Prisiau Tai (Gogledd)'!W61)</f>
        <v>190678.64652578288</v>
      </c>
      <c r="AE61" s="4">
        <f>IF('Rhaniad y Ddeiliadaeth (Cymru)'!$D$18="Data Cofrestrfa Tir",'Prisiau Tai (Gogledd)'!F61,'Prisiau Tai (Gogledd)'!X61)</f>
        <v>194782.88617691779</v>
      </c>
      <c r="AF61" s="4">
        <f>IF('Rhaniad y Ddeiliadaeth (Cymru)'!$D$18="Data Cofrestrfa Tir",'Prisiau Tai (Gogledd)'!G61,'Prisiau Tai (Gogledd)'!Y61)</f>
        <v>202379.25677995037</v>
      </c>
      <c r="AG61" s="4">
        <f>IF('Rhaniad y Ddeiliadaeth (Cymru)'!$D$18="Data Cofrestrfa Tir",'Prisiau Tai (Gogledd)'!H61,'Prisiau Tai (Gogledd)'!Z61)</f>
        <v>210773.93295060427</v>
      </c>
    </row>
    <row r="62" spans="2:33" x14ac:dyDescent="0.25">
      <c r="B62" s="20">
        <v>68</v>
      </c>
      <c r="C62" s="56">
        <v>189000</v>
      </c>
      <c r="D62" s="57">
        <f>C62*(1+'Rhaniad y Ddeiliadaeth (Gog)'!C$118)</f>
        <v>194368.65562039486</v>
      </c>
      <c r="E62" s="57">
        <f>D62*(1+'Rhaniad y Ddeiliadaeth (Gog)'!D$118)</f>
        <v>194801.4280722863</v>
      </c>
      <c r="F62" s="57">
        <f>E62*(1+'Rhaniad y Ddeiliadaeth (Gog)'!E$118)</f>
        <v>198994.40804020248</v>
      </c>
      <c r="G62" s="57">
        <f>F62*(1+'Rhaniad y Ddeiliadaeth (Gog)'!F$118)</f>
        <v>206755.02449411145</v>
      </c>
      <c r="H62" s="57">
        <f>G62*(1+'Rhaniad y Ddeiliadaeth (Gog)'!G$118)</f>
        <v>215331.20717656327</v>
      </c>
      <c r="L62" s="62" t="str">
        <f t="shared" si="0"/>
        <v/>
      </c>
      <c r="M62" s="239"/>
      <c r="N62" s="14">
        <f t="shared" si="3"/>
        <v>1</v>
      </c>
      <c r="T62" s="1">
        <f t="shared" si="1"/>
        <v>68</v>
      </c>
      <c r="U62" s="4" t="str">
        <f t="shared" si="2"/>
        <v/>
      </c>
      <c r="V62" s="4" t="e">
        <f>IF($V$3=$M$3,M62,U62*(1+'Rhaniad y Ddeiliadaeth (Cymru)'!C$118))</f>
        <v>#VALUE!</v>
      </c>
      <c r="W62" s="4" t="e">
        <f>V62*(1+'Rhaniad y Ddeiliadaeth (Cymru)'!D$118)</f>
        <v>#VALUE!</v>
      </c>
      <c r="X62" s="4" t="e">
        <f>W62*(1+'Rhaniad y Ddeiliadaeth (Cymru)'!E$118)</f>
        <v>#VALUE!</v>
      </c>
      <c r="Y62" s="4" t="e">
        <f>X62*(1+'Rhaniad y Ddeiliadaeth (Cymru)'!F$118)</f>
        <v>#VALUE!</v>
      </c>
      <c r="Z62" s="4" t="e">
        <f>Y62*(1+'Rhaniad y Ddeiliadaeth (Cymru)'!G$118)</f>
        <v>#VALUE!</v>
      </c>
      <c r="AB62" s="1">
        <v>68</v>
      </c>
      <c r="AC62" s="4">
        <f>IF('Rhaniad y Ddeiliadaeth (Cymru)'!$D$18="Data Cofrestrfa Tir",'Prisiau Tai (Gogledd)'!D62,'Prisiau Tai (Gogledd)'!V62)</f>
        <v>194368.65562039486</v>
      </c>
      <c r="AD62" s="4">
        <f>IF('Rhaniad y Ddeiliadaeth (Cymru)'!$D$18="Data Cofrestrfa Tir",'Prisiau Tai (Gogledd)'!E62,'Prisiau Tai (Gogledd)'!W62)</f>
        <v>194801.4280722863</v>
      </c>
      <c r="AE62" s="4">
        <f>IF('Rhaniad y Ddeiliadaeth (Cymru)'!$D$18="Data Cofrestrfa Tir",'Prisiau Tai (Gogledd)'!F62,'Prisiau Tai (Gogledd)'!X62)</f>
        <v>198994.40804020248</v>
      </c>
      <c r="AF62" s="4">
        <f>IF('Rhaniad y Ddeiliadaeth (Cymru)'!$D$18="Data Cofrestrfa Tir",'Prisiau Tai (Gogledd)'!G62,'Prisiau Tai (Gogledd)'!Y62)</f>
        <v>206755.02449411145</v>
      </c>
      <c r="AG62" s="4">
        <f>IF('Rhaniad y Ddeiliadaeth (Cymru)'!$D$18="Data Cofrestrfa Tir",'Prisiau Tai (Gogledd)'!H62,'Prisiau Tai (Gogledd)'!Z62)</f>
        <v>215331.20717656327</v>
      </c>
    </row>
    <row r="63" spans="2:33" x14ac:dyDescent="0.25">
      <c r="B63" s="20">
        <v>69</v>
      </c>
      <c r="C63" s="56">
        <v>190000</v>
      </c>
      <c r="D63" s="57">
        <f>C63*(1+'Rhaniad y Ddeiliadaeth (Gog)'!C$118)</f>
        <v>195397.06120568793</v>
      </c>
      <c r="E63" s="57">
        <f>D63*(1+'Rhaniad y Ddeiliadaeth (Gog)'!D$118)</f>
        <v>195832.12345891213</v>
      </c>
      <c r="F63" s="57">
        <f>E63*(1+'Rhaniad y Ddeiliadaeth (Gog)'!E$118)</f>
        <v>200047.28850602364</v>
      </c>
      <c r="G63" s="57">
        <f>F63*(1+'Rhaniad y Ddeiliadaeth (Gog)'!F$118)</f>
        <v>207848.96642265169</v>
      </c>
      <c r="H63" s="57">
        <f>G63*(1+'Rhaniad y Ddeiliadaeth (Gog)'!G$118)</f>
        <v>216470.52573305299</v>
      </c>
      <c r="L63" s="62" t="str">
        <f t="shared" si="0"/>
        <v/>
      </c>
      <c r="M63" s="239"/>
      <c r="N63" s="14">
        <f t="shared" si="3"/>
        <v>1</v>
      </c>
      <c r="T63" s="1">
        <f t="shared" si="1"/>
        <v>69</v>
      </c>
      <c r="U63" s="4" t="str">
        <f t="shared" si="2"/>
        <v/>
      </c>
      <c r="V63" s="4" t="e">
        <f>IF($V$3=$M$3,M63,U63*(1+'Rhaniad y Ddeiliadaeth (Cymru)'!C$118))</f>
        <v>#VALUE!</v>
      </c>
      <c r="W63" s="4" t="e">
        <f>V63*(1+'Rhaniad y Ddeiliadaeth (Cymru)'!D$118)</f>
        <v>#VALUE!</v>
      </c>
      <c r="X63" s="4" t="e">
        <f>W63*(1+'Rhaniad y Ddeiliadaeth (Cymru)'!E$118)</f>
        <v>#VALUE!</v>
      </c>
      <c r="Y63" s="4" t="e">
        <f>X63*(1+'Rhaniad y Ddeiliadaeth (Cymru)'!F$118)</f>
        <v>#VALUE!</v>
      </c>
      <c r="Z63" s="4" t="e">
        <f>Y63*(1+'Rhaniad y Ddeiliadaeth (Cymru)'!G$118)</f>
        <v>#VALUE!</v>
      </c>
      <c r="AB63" s="1">
        <v>69</v>
      </c>
      <c r="AC63" s="4">
        <f>IF('Rhaniad y Ddeiliadaeth (Cymru)'!$D$18="Data Cofrestrfa Tir",'Prisiau Tai (Gogledd)'!D63,'Prisiau Tai (Gogledd)'!V63)</f>
        <v>195397.06120568793</v>
      </c>
      <c r="AD63" s="4">
        <f>IF('Rhaniad y Ddeiliadaeth (Cymru)'!$D$18="Data Cofrestrfa Tir",'Prisiau Tai (Gogledd)'!E63,'Prisiau Tai (Gogledd)'!W63)</f>
        <v>195832.12345891213</v>
      </c>
      <c r="AE63" s="4">
        <f>IF('Rhaniad y Ddeiliadaeth (Cymru)'!$D$18="Data Cofrestrfa Tir",'Prisiau Tai (Gogledd)'!F63,'Prisiau Tai (Gogledd)'!X63)</f>
        <v>200047.28850602364</v>
      </c>
      <c r="AF63" s="4">
        <f>IF('Rhaniad y Ddeiliadaeth (Cymru)'!$D$18="Data Cofrestrfa Tir",'Prisiau Tai (Gogledd)'!G63,'Prisiau Tai (Gogledd)'!Y63)</f>
        <v>207848.96642265169</v>
      </c>
      <c r="AG63" s="4">
        <f>IF('Rhaniad y Ddeiliadaeth (Cymru)'!$D$18="Data Cofrestrfa Tir",'Prisiau Tai (Gogledd)'!H63,'Prisiau Tai (Gogledd)'!Z63)</f>
        <v>216470.52573305299</v>
      </c>
    </row>
    <row r="64" spans="2:33" x14ac:dyDescent="0.25">
      <c r="B64" s="20">
        <v>70</v>
      </c>
      <c r="C64" s="56">
        <v>195000</v>
      </c>
      <c r="D64" s="57">
        <f>C64*(1+'Rhaniad y Ddeiliadaeth (Gog)'!C$118)</f>
        <v>200539.08913215343</v>
      </c>
      <c r="E64" s="57">
        <f>D64*(1+'Rhaniad y Ddeiliadaeth (Gog)'!D$118)</f>
        <v>200985.60039204144</v>
      </c>
      <c r="F64" s="57">
        <f>E64*(1+'Rhaniad y Ddeiliadaeth (Gog)'!E$118)</f>
        <v>205311.69083512956</v>
      </c>
      <c r="G64" s="57">
        <f>F64*(1+'Rhaniad y Ddeiliadaeth (Gog)'!F$118)</f>
        <v>213318.67606535309</v>
      </c>
      <c r="H64" s="57">
        <f>G64*(1+'Rhaniad y Ddeiliadaeth (Gog)'!G$118)</f>
        <v>222167.11851550182</v>
      </c>
      <c r="L64" s="62" t="str">
        <f t="shared" si="0"/>
        <v/>
      </c>
      <c r="M64" s="239"/>
      <c r="N64" s="14">
        <f t="shared" si="3"/>
        <v>1</v>
      </c>
      <c r="T64" s="1">
        <f t="shared" si="1"/>
        <v>70</v>
      </c>
      <c r="U64" s="4" t="str">
        <f t="shared" si="2"/>
        <v/>
      </c>
      <c r="V64" s="4" t="e">
        <f>IF($V$3=$M$3,M64,U64*(1+'Rhaniad y Ddeiliadaeth (Cymru)'!C$118))</f>
        <v>#VALUE!</v>
      </c>
      <c r="W64" s="4" t="e">
        <f>V64*(1+'Rhaniad y Ddeiliadaeth (Cymru)'!D$118)</f>
        <v>#VALUE!</v>
      </c>
      <c r="X64" s="4" t="e">
        <f>W64*(1+'Rhaniad y Ddeiliadaeth (Cymru)'!E$118)</f>
        <v>#VALUE!</v>
      </c>
      <c r="Y64" s="4" t="e">
        <f>X64*(1+'Rhaniad y Ddeiliadaeth (Cymru)'!F$118)</f>
        <v>#VALUE!</v>
      </c>
      <c r="Z64" s="4" t="e">
        <f>Y64*(1+'Rhaniad y Ddeiliadaeth (Cymru)'!G$118)</f>
        <v>#VALUE!</v>
      </c>
      <c r="AB64" s="1">
        <v>70</v>
      </c>
      <c r="AC64" s="4">
        <f>IF('Rhaniad y Ddeiliadaeth (Cymru)'!$D$18="Data Cofrestrfa Tir",'Prisiau Tai (Gogledd)'!D64,'Prisiau Tai (Gogledd)'!V64)</f>
        <v>200539.08913215343</v>
      </c>
      <c r="AD64" s="4">
        <f>IF('Rhaniad y Ddeiliadaeth (Cymru)'!$D$18="Data Cofrestrfa Tir",'Prisiau Tai (Gogledd)'!E64,'Prisiau Tai (Gogledd)'!W64)</f>
        <v>200985.60039204144</v>
      </c>
      <c r="AE64" s="4">
        <f>IF('Rhaniad y Ddeiliadaeth (Cymru)'!$D$18="Data Cofrestrfa Tir",'Prisiau Tai (Gogledd)'!F64,'Prisiau Tai (Gogledd)'!X64)</f>
        <v>205311.69083512956</v>
      </c>
      <c r="AF64" s="4">
        <f>IF('Rhaniad y Ddeiliadaeth (Cymru)'!$D$18="Data Cofrestrfa Tir",'Prisiau Tai (Gogledd)'!G64,'Prisiau Tai (Gogledd)'!Y64)</f>
        <v>213318.67606535309</v>
      </c>
      <c r="AG64" s="4">
        <f>IF('Rhaniad y Ddeiliadaeth (Cymru)'!$D$18="Data Cofrestrfa Tir",'Prisiau Tai (Gogledd)'!H64,'Prisiau Tai (Gogledd)'!Z64)</f>
        <v>222167.11851550182</v>
      </c>
    </row>
    <row r="65" spans="2:33" x14ac:dyDescent="0.25">
      <c r="B65" s="20">
        <v>71</v>
      </c>
      <c r="C65" s="56">
        <v>198000</v>
      </c>
      <c r="D65" s="57">
        <f>C65*(1+'Rhaniad y Ddeiliadaeth (Gog)'!C$118)</f>
        <v>203624.30588803272</v>
      </c>
      <c r="E65" s="57">
        <f>D65*(1+'Rhaniad y Ddeiliadaeth (Gog)'!D$118)</f>
        <v>204077.68655191897</v>
      </c>
      <c r="F65" s="57">
        <f>E65*(1+'Rhaniad y Ddeiliadaeth (Gog)'!E$118)</f>
        <v>208470.33223259306</v>
      </c>
      <c r="G65" s="57">
        <f>F65*(1+'Rhaniad y Ddeiliadaeth (Gog)'!F$118)</f>
        <v>216600.50185097387</v>
      </c>
      <c r="H65" s="57">
        <f>G65*(1+'Rhaniad y Ddeiliadaeth (Gog)'!G$118)</f>
        <v>225585.07418497102</v>
      </c>
      <c r="L65" s="62" t="str">
        <f t="shared" si="0"/>
        <v/>
      </c>
      <c r="M65" s="239"/>
      <c r="N65" s="14">
        <f t="shared" si="3"/>
        <v>1</v>
      </c>
      <c r="T65" s="1">
        <f t="shared" si="1"/>
        <v>71</v>
      </c>
      <c r="U65" s="4" t="str">
        <f t="shared" si="2"/>
        <v/>
      </c>
      <c r="V65" s="4" t="e">
        <f>IF($V$3=$M$3,M65,U65*(1+'Rhaniad y Ddeiliadaeth (Cymru)'!C$118))</f>
        <v>#VALUE!</v>
      </c>
      <c r="W65" s="4" t="e">
        <f>V65*(1+'Rhaniad y Ddeiliadaeth (Cymru)'!D$118)</f>
        <v>#VALUE!</v>
      </c>
      <c r="X65" s="4" t="e">
        <f>W65*(1+'Rhaniad y Ddeiliadaeth (Cymru)'!E$118)</f>
        <v>#VALUE!</v>
      </c>
      <c r="Y65" s="4" t="e">
        <f>X65*(1+'Rhaniad y Ddeiliadaeth (Cymru)'!F$118)</f>
        <v>#VALUE!</v>
      </c>
      <c r="Z65" s="4" t="e">
        <f>Y65*(1+'Rhaniad y Ddeiliadaeth (Cymru)'!G$118)</f>
        <v>#VALUE!</v>
      </c>
      <c r="AB65" s="1">
        <v>71</v>
      </c>
      <c r="AC65" s="4">
        <f>IF('Rhaniad y Ddeiliadaeth (Cymru)'!$D$18="Data Cofrestrfa Tir",'Prisiau Tai (Gogledd)'!D65,'Prisiau Tai (Gogledd)'!V65)</f>
        <v>203624.30588803272</v>
      </c>
      <c r="AD65" s="4">
        <f>IF('Rhaniad y Ddeiliadaeth (Cymru)'!$D$18="Data Cofrestrfa Tir",'Prisiau Tai (Gogledd)'!E65,'Prisiau Tai (Gogledd)'!W65)</f>
        <v>204077.68655191897</v>
      </c>
      <c r="AE65" s="4">
        <f>IF('Rhaniad y Ddeiliadaeth (Cymru)'!$D$18="Data Cofrestrfa Tir",'Prisiau Tai (Gogledd)'!F65,'Prisiau Tai (Gogledd)'!X65)</f>
        <v>208470.33223259306</v>
      </c>
      <c r="AF65" s="4">
        <f>IF('Rhaniad y Ddeiliadaeth (Cymru)'!$D$18="Data Cofrestrfa Tir",'Prisiau Tai (Gogledd)'!G65,'Prisiau Tai (Gogledd)'!Y65)</f>
        <v>216600.50185097387</v>
      </c>
      <c r="AG65" s="4">
        <f>IF('Rhaniad y Ddeiliadaeth (Cymru)'!$D$18="Data Cofrestrfa Tir",'Prisiau Tai (Gogledd)'!H65,'Prisiau Tai (Gogledd)'!Z65)</f>
        <v>225585.07418497102</v>
      </c>
    </row>
    <row r="66" spans="2:33" x14ac:dyDescent="0.25">
      <c r="B66" s="20">
        <v>72</v>
      </c>
      <c r="C66" s="56">
        <v>200000</v>
      </c>
      <c r="D66" s="57">
        <f>C66*(1+'Rhaniad y Ddeiliadaeth (Gog)'!C$118)</f>
        <v>205681.1170586189</v>
      </c>
      <c r="E66" s="57">
        <f>D66*(1+'Rhaniad y Ddeiliadaeth (Gog)'!D$118)</f>
        <v>206139.07732517069</v>
      </c>
      <c r="F66" s="57">
        <f>E66*(1+'Rhaniad y Ddeiliadaeth (Gog)'!E$118)</f>
        <v>210576.09316423544</v>
      </c>
      <c r="G66" s="57">
        <f>F66*(1+'Rhaniad y Ddeiliadaeth (Gog)'!F$118)</f>
        <v>218788.38570805444</v>
      </c>
      <c r="H66" s="57">
        <f>G66*(1+'Rhaniad y Ddeiliadaeth (Gog)'!G$118)</f>
        <v>227863.71129795056</v>
      </c>
      <c r="L66" s="62" t="str">
        <f t="shared" si="0"/>
        <v/>
      </c>
      <c r="M66" s="239"/>
      <c r="N66" s="14">
        <f t="shared" si="3"/>
        <v>1</v>
      </c>
      <c r="T66" s="1">
        <f t="shared" si="1"/>
        <v>72</v>
      </c>
      <c r="U66" s="4" t="str">
        <f t="shared" si="2"/>
        <v/>
      </c>
      <c r="V66" s="4" t="e">
        <f>IF($V$3=$M$3,M66,U66*(1+'Rhaniad y Ddeiliadaeth (Cymru)'!C$118))</f>
        <v>#VALUE!</v>
      </c>
      <c r="W66" s="4" t="e">
        <f>V66*(1+'Rhaniad y Ddeiliadaeth (Cymru)'!D$118)</f>
        <v>#VALUE!</v>
      </c>
      <c r="X66" s="4" t="e">
        <f>W66*(1+'Rhaniad y Ddeiliadaeth (Cymru)'!E$118)</f>
        <v>#VALUE!</v>
      </c>
      <c r="Y66" s="4" t="e">
        <f>X66*(1+'Rhaniad y Ddeiliadaeth (Cymru)'!F$118)</f>
        <v>#VALUE!</v>
      </c>
      <c r="Z66" s="4" t="e">
        <f>Y66*(1+'Rhaniad y Ddeiliadaeth (Cymru)'!G$118)</f>
        <v>#VALUE!</v>
      </c>
      <c r="AB66" s="1">
        <v>72</v>
      </c>
      <c r="AC66" s="4">
        <f>IF('Rhaniad y Ddeiliadaeth (Cymru)'!$D$18="Data Cofrestrfa Tir",'Prisiau Tai (Gogledd)'!D66,'Prisiau Tai (Gogledd)'!V66)</f>
        <v>205681.1170586189</v>
      </c>
      <c r="AD66" s="4">
        <f>IF('Rhaniad y Ddeiliadaeth (Cymru)'!$D$18="Data Cofrestrfa Tir",'Prisiau Tai (Gogledd)'!E66,'Prisiau Tai (Gogledd)'!W66)</f>
        <v>206139.07732517069</v>
      </c>
      <c r="AE66" s="4">
        <f>IF('Rhaniad y Ddeiliadaeth (Cymru)'!$D$18="Data Cofrestrfa Tir",'Prisiau Tai (Gogledd)'!F66,'Prisiau Tai (Gogledd)'!X66)</f>
        <v>210576.09316423544</v>
      </c>
      <c r="AF66" s="4">
        <f>IF('Rhaniad y Ddeiliadaeth (Cymru)'!$D$18="Data Cofrestrfa Tir",'Prisiau Tai (Gogledd)'!G66,'Prisiau Tai (Gogledd)'!Y66)</f>
        <v>218788.38570805444</v>
      </c>
      <c r="AG66" s="4">
        <f>IF('Rhaniad y Ddeiliadaeth (Cymru)'!$D$18="Data Cofrestrfa Tir",'Prisiau Tai (Gogledd)'!H66,'Prisiau Tai (Gogledd)'!Z66)</f>
        <v>227863.71129795056</v>
      </c>
    </row>
    <row r="67" spans="2:33" x14ac:dyDescent="0.25">
      <c r="B67" s="20">
        <v>73</v>
      </c>
      <c r="C67" s="56">
        <v>205000</v>
      </c>
      <c r="D67" s="57">
        <f>C67*(1+'Rhaniad y Ddeiliadaeth (Gog)'!C$118)</f>
        <v>210823.14498508436</v>
      </c>
      <c r="E67" s="57">
        <f>D67*(1+'Rhaniad y Ddeiliadaeth (Gog)'!D$118)</f>
        <v>211292.55425829993</v>
      </c>
      <c r="F67" s="57">
        <f>E67*(1+'Rhaniad y Ddeiliadaeth (Gog)'!E$118)</f>
        <v>215840.4954933413</v>
      </c>
      <c r="G67" s="57">
        <f>F67*(1+'Rhaniad y Ddeiliadaeth (Gog)'!F$118)</f>
        <v>224258.09535075579</v>
      </c>
      <c r="H67" s="57">
        <f>G67*(1+'Rhaniad y Ddeiliadaeth (Gog)'!G$118)</f>
        <v>233560.30408039931</v>
      </c>
      <c r="L67" s="62" t="str">
        <f t="shared" si="0"/>
        <v/>
      </c>
      <c r="M67" s="239"/>
      <c r="N67" s="14">
        <f t="shared" si="3"/>
        <v>1</v>
      </c>
      <c r="T67" s="1">
        <f t="shared" si="1"/>
        <v>73</v>
      </c>
      <c r="U67" s="4" t="str">
        <f t="shared" si="2"/>
        <v/>
      </c>
      <c r="V67" s="4" t="e">
        <f>IF($V$3=$M$3,M67,U67*(1+'Rhaniad y Ddeiliadaeth (Cymru)'!C$118))</f>
        <v>#VALUE!</v>
      </c>
      <c r="W67" s="4" t="e">
        <f>V67*(1+'Rhaniad y Ddeiliadaeth (Cymru)'!D$118)</f>
        <v>#VALUE!</v>
      </c>
      <c r="X67" s="4" t="e">
        <f>W67*(1+'Rhaniad y Ddeiliadaeth (Cymru)'!E$118)</f>
        <v>#VALUE!</v>
      </c>
      <c r="Y67" s="4" t="e">
        <f>X67*(1+'Rhaniad y Ddeiliadaeth (Cymru)'!F$118)</f>
        <v>#VALUE!</v>
      </c>
      <c r="Z67" s="4" t="e">
        <f>Y67*(1+'Rhaniad y Ddeiliadaeth (Cymru)'!G$118)</f>
        <v>#VALUE!</v>
      </c>
      <c r="AB67" s="1">
        <v>73</v>
      </c>
      <c r="AC67" s="4">
        <f>IF('Rhaniad y Ddeiliadaeth (Cymru)'!$D$18="Data Cofrestrfa Tir",'Prisiau Tai (Gogledd)'!D67,'Prisiau Tai (Gogledd)'!V67)</f>
        <v>210823.14498508436</v>
      </c>
      <c r="AD67" s="4">
        <f>IF('Rhaniad y Ddeiliadaeth (Cymru)'!$D$18="Data Cofrestrfa Tir",'Prisiau Tai (Gogledd)'!E67,'Prisiau Tai (Gogledd)'!W67)</f>
        <v>211292.55425829993</v>
      </c>
      <c r="AE67" s="4">
        <f>IF('Rhaniad y Ddeiliadaeth (Cymru)'!$D$18="Data Cofrestrfa Tir",'Prisiau Tai (Gogledd)'!F67,'Prisiau Tai (Gogledd)'!X67)</f>
        <v>215840.4954933413</v>
      </c>
      <c r="AF67" s="4">
        <f>IF('Rhaniad y Ddeiliadaeth (Cymru)'!$D$18="Data Cofrestrfa Tir",'Prisiau Tai (Gogledd)'!G67,'Prisiau Tai (Gogledd)'!Y67)</f>
        <v>224258.09535075579</v>
      </c>
      <c r="AG67" s="4">
        <f>IF('Rhaniad y Ddeiliadaeth (Cymru)'!$D$18="Data Cofrestrfa Tir",'Prisiau Tai (Gogledd)'!H67,'Prisiau Tai (Gogledd)'!Z67)</f>
        <v>233560.30408039931</v>
      </c>
    </row>
    <row r="68" spans="2:33" x14ac:dyDescent="0.25">
      <c r="B68" s="20">
        <v>74</v>
      </c>
      <c r="C68" s="56">
        <v>208000</v>
      </c>
      <c r="D68" s="57">
        <f>C68*(1+'Rhaniad y Ddeiliadaeth (Gog)'!C$118)</f>
        <v>213908.36174096365</v>
      </c>
      <c r="E68" s="57">
        <f>D68*(1+'Rhaniad y Ddeiliadaeth (Gog)'!D$118)</f>
        <v>214384.6404181775</v>
      </c>
      <c r="F68" s="57">
        <f>E68*(1+'Rhaniad y Ddeiliadaeth (Gog)'!E$118)</f>
        <v>218999.13689080483</v>
      </c>
      <c r="G68" s="57">
        <f>F68*(1+'Rhaniad y Ddeiliadaeth (Gog)'!F$118)</f>
        <v>227539.92113637659</v>
      </c>
      <c r="H68" s="57">
        <f>G68*(1+'Rhaniad y Ddeiliadaeth (Gog)'!G$118)</f>
        <v>236978.25974986856</v>
      </c>
      <c r="L68" s="62" t="str">
        <f t="shared" ref="L68:L84" si="4">IF(ISBLANK($K$4),"",B68)</f>
        <v/>
      </c>
      <c r="M68" s="239"/>
      <c r="N68" s="14">
        <f t="shared" si="3"/>
        <v>1</v>
      </c>
      <c r="T68" s="1">
        <f t="shared" ref="T68:T84" si="5">B68</f>
        <v>74</v>
      </c>
      <c r="U68" s="4" t="str">
        <f t="shared" ref="U68:U84" si="6">IF($M$3=$U$3,M68,"")</f>
        <v/>
      </c>
      <c r="V68" s="4" t="e">
        <f>IF($V$3=$M$3,M68,U68*(1+'Rhaniad y Ddeiliadaeth (Cymru)'!C$118))</f>
        <v>#VALUE!</v>
      </c>
      <c r="W68" s="4" t="e">
        <f>V68*(1+'Rhaniad y Ddeiliadaeth (Cymru)'!D$118)</f>
        <v>#VALUE!</v>
      </c>
      <c r="X68" s="4" t="e">
        <f>W68*(1+'Rhaniad y Ddeiliadaeth (Cymru)'!E$118)</f>
        <v>#VALUE!</v>
      </c>
      <c r="Y68" s="4" t="e">
        <f>X68*(1+'Rhaniad y Ddeiliadaeth (Cymru)'!F$118)</f>
        <v>#VALUE!</v>
      </c>
      <c r="Z68" s="4" t="e">
        <f>Y68*(1+'Rhaniad y Ddeiliadaeth (Cymru)'!G$118)</f>
        <v>#VALUE!</v>
      </c>
      <c r="AB68" s="1">
        <v>74</v>
      </c>
      <c r="AC68" s="4">
        <f>IF('Rhaniad y Ddeiliadaeth (Cymru)'!$D$18="Data Cofrestrfa Tir",'Prisiau Tai (Gogledd)'!D68,'Prisiau Tai (Gogledd)'!V68)</f>
        <v>213908.36174096365</v>
      </c>
      <c r="AD68" s="4">
        <f>IF('Rhaniad y Ddeiliadaeth (Cymru)'!$D$18="Data Cofrestrfa Tir",'Prisiau Tai (Gogledd)'!E68,'Prisiau Tai (Gogledd)'!W68)</f>
        <v>214384.6404181775</v>
      </c>
      <c r="AE68" s="4">
        <f>IF('Rhaniad y Ddeiliadaeth (Cymru)'!$D$18="Data Cofrestrfa Tir",'Prisiau Tai (Gogledd)'!F68,'Prisiau Tai (Gogledd)'!X68)</f>
        <v>218999.13689080483</v>
      </c>
      <c r="AF68" s="4">
        <f>IF('Rhaniad y Ddeiliadaeth (Cymru)'!$D$18="Data Cofrestrfa Tir",'Prisiau Tai (Gogledd)'!G68,'Prisiau Tai (Gogledd)'!Y68)</f>
        <v>227539.92113637659</v>
      </c>
      <c r="AG68" s="4">
        <f>IF('Rhaniad y Ddeiliadaeth (Cymru)'!$D$18="Data Cofrestrfa Tir",'Prisiau Tai (Gogledd)'!H68,'Prisiau Tai (Gogledd)'!Z68)</f>
        <v>236978.25974986856</v>
      </c>
    </row>
    <row r="69" spans="2:33" x14ac:dyDescent="0.25">
      <c r="B69" s="20">
        <v>75</v>
      </c>
      <c r="C69" s="56">
        <v>211495</v>
      </c>
      <c r="D69" s="57">
        <f>C69*(1+'Rhaniad y Ddeiliadaeth (Gog)'!C$118)</f>
        <v>217502.63926156302</v>
      </c>
      <c r="E69" s="57">
        <f>D69*(1+'Rhaniad y Ddeiliadaeth (Gog)'!D$118)</f>
        <v>217986.92079443487</v>
      </c>
      <c r="F69" s="57">
        <f>E69*(1+'Rhaniad y Ddeiliadaeth (Gog)'!E$118)</f>
        <v>222678.95411884988</v>
      </c>
      <c r="G69" s="57">
        <f>F69*(1+'Rhaniad y Ddeiliadaeth (Gog)'!F$118)</f>
        <v>231363.24817662488</v>
      </c>
      <c r="H69" s="57">
        <f>G69*(1+'Rhaniad y Ddeiliadaeth (Gog)'!G$118)</f>
        <v>240960.17810480029</v>
      </c>
      <c r="L69" s="62" t="str">
        <f t="shared" si="4"/>
        <v/>
      </c>
      <c r="M69" s="239"/>
      <c r="N69" s="14">
        <f t="shared" ref="N69:N84" si="7">IF(ISBLANK(M69),1,0)</f>
        <v>1</v>
      </c>
      <c r="T69" s="1">
        <f t="shared" si="5"/>
        <v>75</v>
      </c>
      <c r="U69" s="4" t="str">
        <f t="shared" si="6"/>
        <v/>
      </c>
      <c r="V69" s="4" t="e">
        <f>IF($V$3=$M$3,M69,U69*(1+'Rhaniad y Ddeiliadaeth (Cymru)'!C$118))</f>
        <v>#VALUE!</v>
      </c>
      <c r="W69" s="4" t="e">
        <f>V69*(1+'Rhaniad y Ddeiliadaeth (Cymru)'!D$118)</f>
        <v>#VALUE!</v>
      </c>
      <c r="X69" s="4" t="e">
        <f>W69*(1+'Rhaniad y Ddeiliadaeth (Cymru)'!E$118)</f>
        <v>#VALUE!</v>
      </c>
      <c r="Y69" s="4" t="e">
        <f>X69*(1+'Rhaniad y Ddeiliadaeth (Cymru)'!F$118)</f>
        <v>#VALUE!</v>
      </c>
      <c r="Z69" s="4" t="e">
        <f>Y69*(1+'Rhaniad y Ddeiliadaeth (Cymru)'!G$118)</f>
        <v>#VALUE!</v>
      </c>
      <c r="AB69" s="1">
        <v>75</v>
      </c>
      <c r="AC69" s="4">
        <f>IF('Rhaniad y Ddeiliadaeth (Cymru)'!$D$18="Data Cofrestrfa Tir",'Prisiau Tai (Gogledd)'!D69,'Prisiau Tai (Gogledd)'!V69)</f>
        <v>217502.63926156302</v>
      </c>
      <c r="AD69" s="4">
        <f>IF('Rhaniad y Ddeiliadaeth (Cymru)'!$D$18="Data Cofrestrfa Tir",'Prisiau Tai (Gogledd)'!E69,'Prisiau Tai (Gogledd)'!W69)</f>
        <v>217986.92079443487</v>
      </c>
      <c r="AE69" s="4">
        <f>IF('Rhaniad y Ddeiliadaeth (Cymru)'!$D$18="Data Cofrestrfa Tir",'Prisiau Tai (Gogledd)'!F69,'Prisiau Tai (Gogledd)'!X69)</f>
        <v>222678.95411884988</v>
      </c>
      <c r="AF69" s="4">
        <f>IF('Rhaniad y Ddeiliadaeth (Cymru)'!$D$18="Data Cofrestrfa Tir",'Prisiau Tai (Gogledd)'!G69,'Prisiau Tai (Gogledd)'!Y69)</f>
        <v>231363.24817662488</v>
      </c>
      <c r="AG69" s="4">
        <f>IF('Rhaniad y Ddeiliadaeth (Cymru)'!$D$18="Data Cofrestrfa Tir",'Prisiau Tai (Gogledd)'!H69,'Prisiau Tai (Gogledd)'!Z69)</f>
        <v>240960.17810480029</v>
      </c>
    </row>
    <row r="70" spans="2:33" x14ac:dyDescent="0.25">
      <c r="B70" s="20">
        <v>76</v>
      </c>
      <c r="C70" s="56">
        <v>215950</v>
      </c>
      <c r="D70" s="57">
        <f>C70*(1+'Rhaniad y Ddeiliadaeth (Gog)'!C$118)</f>
        <v>222084.18614404375</v>
      </c>
      <c r="E70" s="57">
        <f>D70*(1+'Rhaniad y Ddeiliadaeth (Gog)'!D$118)</f>
        <v>222578.66874185303</v>
      </c>
      <c r="F70" s="57">
        <f>E70*(1+'Rhaniad y Ddeiliadaeth (Gog)'!E$118)</f>
        <v>227369.53659408321</v>
      </c>
      <c r="G70" s="57">
        <f>F70*(1+'Rhaniad y Ddeiliadaeth (Gog)'!F$118)</f>
        <v>236236.75946827178</v>
      </c>
      <c r="H70" s="57">
        <f>G70*(1+'Rhaniad y Ddeiliadaeth (Gog)'!G$118)</f>
        <v>246035.8422739621</v>
      </c>
      <c r="L70" s="62" t="str">
        <f t="shared" si="4"/>
        <v/>
      </c>
      <c r="M70" s="239"/>
      <c r="N70" s="14">
        <f t="shared" si="7"/>
        <v>1</v>
      </c>
      <c r="T70" s="1">
        <f t="shared" si="5"/>
        <v>76</v>
      </c>
      <c r="U70" s="4" t="str">
        <f t="shared" si="6"/>
        <v/>
      </c>
      <c r="V70" s="4" t="e">
        <f>IF($V$3=$M$3,M70,U70*(1+'Rhaniad y Ddeiliadaeth (Cymru)'!C$118))</f>
        <v>#VALUE!</v>
      </c>
      <c r="W70" s="4" t="e">
        <f>V70*(1+'Rhaniad y Ddeiliadaeth (Cymru)'!D$118)</f>
        <v>#VALUE!</v>
      </c>
      <c r="X70" s="4" t="e">
        <f>W70*(1+'Rhaniad y Ddeiliadaeth (Cymru)'!E$118)</f>
        <v>#VALUE!</v>
      </c>
      <c r="Y70" s="4" t="e">
        <f>X70*(1+'Rhaniad y Ddeiliadaeth (Cymru)'!F$118)</f>
        <v>#VALUE!</v>
      </c>
      <c r="Z70" s="4" t="e">
        <f>Y70*(1+'Rhaniad y Ddeiliadaeth (Cymru)'!G$118)</f>
        <v>#VALUE!</v>
      </c>
      <c r="AB70" s="1">
        <v>76</v>
      </c>
      <c r="AC70" s="4">
        <f>IF('Rhaniad y Ddeiliadaeth (Cymru)'!$D$18="Data Cofrestrfa Tir",'Prisiau Tai (Gogledd)'!D70,'Prisiau Tai (Gogledd)'!V70)</f>
        <v>222084.18614404375</v>
      </c>
      <c r="AD70" s="4">
        <f>IF('Rhaniad y Ddeiliadaeth (Cymru)'!$D$18="Data Cofrestrfa Tir",'Prisiau Tai (Gogledd)'!E70,'Prisiau Tai (Gogledd)'!W70)</f>
        <v>222578.66874185303</v>
      </c>
      <c r="AE70" s="4">
        <f>IF('Rhaniad y Ddeiliadaeth (Cymru)'!$D$18="Data Cofrestrfa Tir",'Prisiau Tai (Gogledd)'!F70,'Prisiau Tai (Gogledd)'!X70)</f>
        <v>227369.53659408321</v>
      </c>
      <c r="AF70" s="4">
        <f>IF('Rhaniad y Ddeiliadaeth (Cymru)'!$D$18="Data Cofrestrfa Tir",'Prisiau Tai (Gogledd)'!G70,'Prisiau Tai (Gogledd)'!Y70)</f>
        <v>236236.75946827178</v>
      </c>
      <c r="AG70" s="4">
        <f>IF('Rhaniad y Ddeiliadaeth (Cymru)'!$D$18="Data Cofrestrfa Tir",'Prisiau Tai (Gogledd)'!H70,'Prisiau Tai (Gogledd)'!Z70)</f>
        <v>246035.8422739621</v>
      </c>
    </row>
    <row r="71" spans="2:33" x14ac:dyDescent="0.25">
      <c r="B71" s="20">
        <v>77</v>
      </c>
      <c r="C71" s="56">
        <v>220000</v>
      </c>
      <c r="D71" s="57">
        <f>C71*(1+'Rhaniad y Ddeiliadaeth (Gog)'!C$118)</f>
        <v>226249.22876448077</v>
      </c>
      <c r="E71" s="57">
        <f>D71*(1+'Rhaniad y Ddeiliadaeth (Gog)'!D$118)</f>
        <v>226752.98505768774</v>
      </c>
      <c r="F71" s="57">
        <f>E71*(1+'Rhaniad y Ddeiliadaeth (Gog)'!E$118)</f>
        <v>231633.70248065895</v>
      </c>
      <c r="G71" s="57">
        <f>F71*(1+'Rhaniad y Ddeiliadaeth (Gog)'!F$118)</f>
        <v>240667.22427885985</v>
      </c>
      <c r="H71" s="57">
        <f>G71*(1+'Rhaniad y Ddeiliadaeth (Gog)'!G$118)</f>
        <v>250650.08242774557</v>
      </c>
      <c r="L71" s="62" t="str">
        <f t="shared" si="4"/>
        <v/>
      </c>
      <c r="M71" s="239"/>
      <c r="N71" s="14">
        <f t="shared" si="7"/>
        <v>1</v>
      </c>
      <c r="T71" s="1">
        <f t="shared" si="5"/>
        <v>77</v>
      </c>
      <c r="U71" s="4" t="str">
        <f t="shared" si="6"/>
        <v/>
      </c>
      <c r="V71" s="4" t="e">
        <f>IF($V$3=$M$3,M71,U71*(1+'Rhaniad y Ddeiliadaeth (Cymru)'!C$118))</f>
        <v>#VALUE!</v>
      </c>
      <c r="W71" s="4" t="e">
        <f>V71*(1+'Rhaniad y Ddeiliadaeth (Cymru)'!D$118)</f>
        <v>#VALUE!</v>
      </c>
      <c r="X71" s="4" t="e">
        <f>W71*(1+'Rhaniad y Ddeiliadaeth (Cymru)'!E$118)</f>
        <v>#VALUE!</v>
      </c>
      <c r="Y71" s="4" t="e">
        <f>X71*(1+'Rhaniad y Ddeiliadaeth (Cymru)'!F$118)</f>
        <v>#VALUE!</v>
      </c>
      <c r="Z71" s="4" t="e">
        <f>Y71*(1+'Rhaniad y Ddeiliadaeth (Cymru)'!G$118)</f>
        <v>#VALUE!</v>
      </c>
      <c r="AB71" s="1">
        <v>77</v>
      </c>
      <c r="AC71" s="4">
        <f>IF('Rhaniad y Ddeiliadaeth (Cymru)'!$D$18="Data Cofrestrfa Tir",'Prisiau Tai (Gogledd)'!D71,'Prisiau Tai (Gogledd)'!V71)</f>
        <v>226249.22876448077</v>
      </c>
      <c r="AD71" s="4">
        <f>IF('Rhaniad y Ddeiliadaeth (Cymru)'!$D$18="Data Cofrestrfa Tir",'Prisiau Tai (Gogledd)'!E71,'Prisiau Tai (Gogledd)'!W71)</f>
        <v>226752.98505768774</v>
      </c>
      <c r="AE71" s="4">
        <f>IF('Rhaniad y Ddeiliadaeth (Cymru)'!$D$18="Data Cofrestrfa Tir",'Prisiau Tai (Gogledd)'!F71,'Prisiau Tai (Gogledd)'!X71)</f>
        <v>231633.70248065895</v>
      </c>
      <c r="AF71" s="4">
        <f>IF('Rhaniad y Ddeiliadaeth (Cymru)'!$D$18="Data Cofrestrfa Tir",'Prisiau Tai (Gogledd)'!G71,'Prisiau Tai (Gogledd)'!Y71)</f>
        <v>240667.22427885985</v>
      </c>
      <c r="AG71" s="4">
        <f>IF('Rhaniad y Ddeiliadaeth (Cymru)'!$D$18="Data Cofrestrfa Tir",'Prisiau Tai (Gogledd)'!H71,'Prisiau Tai (Gogledd)'!Z71)</f>
        <v>250650.08242774557</v>
      </c>
    </row>
    <row r="72" spans="2:33" x14ac:dyDescent="0.25">
      <c r="B72" s="20">
        <v>78</v>
      </c>
      <c r="C72" s="56">
        <v>224950</v>
      </c>
      <c r="D72" s="57">
        <f>C72*(1+'Rhaniad y Ddeiliadaeth (Gog)'!C$118)</f>
        <v>231339.83641168161</v>
      </c>
      <c r="E72" s="57">
        <f>D72*(1+'Rhaniad y Ddeiliadaeth (Gog)'!D$118)</f>
        <v>231854.92722148573</v>
      </c>
      <c r="F72" s="57">
        <f>E72*(1+'Rhaniad y Ddeiliadaeth (Gog)'!E$118)</f>
        <v>236845.46078647382</v>
      </c>
      <c r="G72" s="57">
        <f>F72*(1+'Rhaniad y Ddeiliadaeth (Gog)'!F$118)</f>
        <v>246082.23682513426</v>
      </c>
      <c r="H72" s="57">
        <f>G72*(1+'Rhaniad y Ddeiliadaeth (Gog)'!G$118)</f>
        <v>256289.70928236991</v>
      </c>
      <c r="L72" s="62" t="str">
        <f t="shared" si="4"/>
        <v/>
      </c>
      <c r="M72" s="239"/>
      <c r="N72" s="14">
        <f t="shared" si="7"/>
        <v>1</v>
      </c>
      <c r="T72" s="1">
        <f t="shared" si="5"/>
        <v>78</v>
      </c>
      <c r="U72" s="4" t="str">
        <f t="shared" si="6"/>
        <v/>
      </c>
      <c r="V72" s="4" t="e">
        <f>IF($V$3=$M$3,M72,U72*(1+'Rhaniad y Ddeiliadaeth (Cymru)'!C$118))</f>
        <v>#VALUE!</v>
      </c>
      <c r="W72" s="4" t="e">
        <f>V72*(1+'Rhaniad y Ddeiliadaeth (Cymru)'!D$118)</f>
        <v>#VALUE!</v>
      </c>
      <c r="X72" s="4" t="e">
        <f>W72*(1+'Rhaniad y Ddeiliadaeth (Cymru)'!E$118)</f>
        <v>#VALUE!</v>
      </c>
      <c r="Y72" s="4" t="e">
        <f>X72*(1+'Rhaniad y Ddeiliadaeth (Cymru)'!F$118)</f>
        <v>#VALUE!</v>
      </c>
      <c r="Z72" s="4" t="e">
        <f>Y72*(1+'Rhaniad y Ddeiliadaeth (Cymru)'!G$118)</f>
        <v>#VALUE!</v>
      </c>
      <c r="AB72" s="1">
        <v>78</v>
      </c>
      <c r="AC72" s="4">
        <f>IF('Rhaniad y Ddeiliadaeth (Cymru)'!$D$18="Data Cofrestrfa Tir",'Prisiau Tai (Gogledd)'!D72,'Prisiau Tai (Gogledd)'!V72)</f>
        <v>231339.83641168161</v>
      </c>
      <c r="AD72" s="4">
        <f>IF('Rhaniad y Ddeiliadaeth (Cymru)'!$D$18="Data Cofrestrfa Tir",'Prisiau Tai (Gogledd)'!E72,'Prisiau Tai (Gogledd)'!W72)</f>
        <v>231854.92722148573</v>
      </c>
      <c r="AE72" s="4">
        <f>IF('Rhaniad y Ddeiliadaeth (Cymru)'!$D$18="Data Cofrestrfa Tir",'Prisiau Tai (Gogledd)'!F72,'Prisiau Tai (Gogledd)'!X72)</f>
        <v>236845.46078647382</v>
      </c>
      <c r="AF72" s="4">
        <f>IF('Rhaniad y Ddeiliadaeth (Cymru)'!$D$18="Data Cofrestrfa Tir",'Prisiau Tai (Gogledd)'!G72,'Prisiau Tai (Gogledd)'!Y72)</f>
        <v>246082.23682513426</v>
      </c>
      <c r="AG72" s="4">
        <f>IF('Rhaniad y Ddeiliadaeth (Cymru)'!$D$18="Data Cofrestrfa Tir",'Prisiau Tai (Gogledd)'!H72,'Prisiau Tai (Gogledd)'!Z72)</f>
        <v>256289.70928236991</v>
      </c>
    </row>
    <row r="73" spans="2:33" x14ac:dyDescent="0.25">
      <c r="B73" s="20">
        <v>79</v>
      </c>
      <c r="C73" s="56">
        <v>229950</v>
      </c>
      <c r="D73" s="57">
        <f>C73*(1+'Rhaniad y Ddeiliadaeth (Gog)'!C$118)</f>
        <v>236481.86433814708</v>
      </c>
      <c r="E73" s="57">
        <f>D73*(1+'Rhaniad y Ddeiliadaeth (Gog)'!D$118)</f>
        <v>237008.40415461498</v>
      </c>
      <c r="F73" s="57">
        <f>E73*(1+'Rhaniad y Ddeiliadaeth (Gog)'!E$118)</f>
        <v>242109.86311557968</v>
      </c>
      <c r="G73" s="57">
        <f>F73*(1+'Rhaniad y Ddeiliadaeth (Gog)'!F$118)</f>
        <v>251551.94646783557</v>
      </c>
      <c r="H73" s="57">
        <f>G73*(1+'Rhaniad y Ddeiliadaeth (Gog)'!G$118)</f>
        <v>261986.30206481862</v>
      </c>
      <c r="L73" s="62" t="str">
        <f t="shared" si="4"/>
        <v/>
      </c>
      <c r="M73" s="239"/>
      <c r="N73" s="14">
        <f t="shared" si="7"/>
        <v>1</v>
      </c>
      <c r="T73" s="1">
        <f t="shared" si="5"/>
        <v>79</v>
      </c>
      <c r="U73" s="4" t="str">
        <f t="shared" si="6"/>
        <v/>
      </c>
      <c r="V73" s="4" t="e">
        <f>IF($V$3=$M$3,M73,U73*(1+'Rhaniad y Ddeiliadaeth (Cymru)'!C$118))</f>
        <v>#VALUE!</v>
      </c>
      <c r="W73" s="4" t="e">
        <f>V73*(1+'Rhaniad y Ddeiliadaeth (Cymru)'!D$118)</f>
        <v>#VALUE!</v>
      </c>
      <c r="X73" s="4" t="e">
        <f>W73*(1+'Rhaniad y Ddeiliadaeth (Cymru)'!E$118)</f>
        <v>#VALUE!</v>
      </c>
      <c r="Y73" s="4" t="e">
        <f>X73*(1+'Rhaniad y Ddeiliadaeth (Cymru)'!F$118)</f>
        <v>#VALUE!</v>
      </c>
      <c r="Z73" s="4" t="e">
        <f>Y73*(1+'Rhaniad y Ddeiliadaeth (Cymru)'!G$118)</f>
        <v>#VALUE!</v>
      </c>
      <c r="AB73" s="1">
        <v>79</v>
      </c>
      <c r="AC73" s="4">
        <f>IF('Rhaniad y Ddeiliadaeth (Cymru)'!$D$18="Data Cofrestrfa Tir",'Prisiau Tai (Gogledd)'!D73,'Prisiau Tai (Gogledd)'!V73)</f>
        <v>236481.86433814708</v>
      </c>
      <c r="AD73" s="4">
        <f>IF('Rhaniad y Ddeiliadaeth (Cymru)'!$D$18="Data Cofrestrfa Tir",'Prisiau Tai (Gogledd)'!E73,'Prisiau Tai (Gogledd)'!W73)</f>
        <v>237008.40415461498</v>
      </c>
      <c r="AE73" s="4">
        <f>IF('Rhaniad y Ddeiliadaeth (Cymru)'!$D$18="Data Cofrestrfa Tir",'Prisiau Tai (Gogledd)'!F73,'Prisiau Tai (Gogledd)'!X73)</f>
        <v>242109.86311557968</v>
      </c>
      <c r="AF73" s="4">
        <f>IF('Rhaniad y Ddeiliadaeth (Cymru)'!$D$18="Data Cofrestrfa Tir",'Prisiau Tai (Gogledd)'!G73,'Prisiau Tai (Gogledd)'!Y73)</f>
        <v>251551.94646783557</v>
      </c>
      <c r="AG73" s="4">
        <f>IF('Rhaniad y Ddeiliadaeth (Cymru)'!$D$18="Data Cofrestrfa Tir",'Prisiau Tai (Gogledd)'!H73,'Prisiau Tai (Gogledd)'!Z73)</f>
        <v>261986.30206481862</v>
      </c>
    </row>
    <row r="74" spans="2:33" x14ac:dyDescent="0.25">
      <c r="B74" s="20">
        <v>80</v>
      </c>
      <c r="C74" s="56">
        <v>232000</v>
      </c>
      <c r="D74" s="57">
        <f>C74*(1+'Rhaniad y Ddeiliadaeth (Gog)'!C$118)</f>
        <v>238590.09578799791</v>
      </c>
      <c r="E74" s="57">
        <f>D74*(1+'Rhaniad y Ddeiliadaeth (Gog)'!D$118)</f>
        <v>239121.32969719797</v>
      </c>
      <c r="F74" s="57">
        <f>E74*(1+'Rhaniad y Ddeiliadaeth (Gog)'!E$118)</f>
        <v>244268.26807051309</v>
      </c>
      <c r="G74" s="57">
        <f>F74*(1+'Rhaniad y Ddeiliadaeth (Gog)'!F$118)</f>
        <v>253794.52742134314</v>
      </c>
      <c r="H74" s="57">
        <f>G74*(1+'Rhaniad y Ddeiliadaeth (Gog)'!G$118)</f>
        <v>264321.90510562266</v>
      </c>
      <c r="L74" s="62" t="str">
        <f t="shared" si="4"/>
        <v/>
      </c>
      <c r="M74" s="239"/>
      <c r="N74" s="14">
        <f t="shared" si="7"/>
        <v>1</v>
      </c>
      <c r="T74" s="1">
        <f t="shared" si="5"/>
        <v>80</v>
      </c>
      <c r="U74" s="4" t="str">
        <f t="shared" si="6"/>
        <v/>
      </c>
      <c r="V74" s="4" t="e">
        <f>IF($V$3=$M$3,M74,U74*(1+'Rhaniad y Ddeiliadaeth (Cymru)'!C$118))</f>
        <v>#VALUE!</v>
      </c>
      <c r="W74" s="4" t="e">
        <f>V74*(1+'Rhaniad y Ddeiliadaeth (Cymru)'!D$118)</f>
        <v>#VALUE!</v>
      </c>
      <c r="X74" s="4" t="e">
        <f>W74*(1+'Rhaniad y Ddeiliadaeth (Cymru)'!E$118)</f>
        <v>#VALUE!</v>
      </c>
      <c r="Y74" s="4" t="e">
        <f>X74*(1+'Rhaniad y Ddeiliadaeth (Cymru)'!F$118)</f>
        <v>#VALUE!</v>
      </c>
      <c r="Z74" s="4" t="e">
        <f>Y74*(1+'Rhaniad y Ddeiliadaeth (Cymru)'!G$118)</f>
        <v>#VALUE!</v>
      </c>
      <c r="AB74" s="1">
        <v>80</v>
      </c>
      <c r="AC74" s="4">
        <f>IF('Rhaniad y Ddeiliadaeth (Cymru)'!$D$18="Data Cofrestrfa Tir",'Prisiau Tai (Gogledd)'!D74,'Prisiau Tai (Gogledd)'!V74)</f>
        <v>238590.09578799791</v>
      </c>
      <c r="AD74" s="4">
        <f>IF('Rhaniad y Ddeiliadaeth (Cymru)'!$D$18="Data Cofrestrfa Tir",'Prisiau Tai (Gogledd)'!E74,'Prisiau Tai (Gogledd)'!W74)</f>
        <v>239121.32969719797</v>
      </c>
      <c r="AE74" s="4">
        <f>IF('Rhaniad y Ddeiliadaeth (Cymru)'!$D$18="Data Cofrestrfa Tir",'Prisiau Tai (Gogledd)'!F74,'Prisiau Tai (Gogledd)'!X74)</f>
        <v>244268.26807051309</v>
      </c>
      <c r="AF74" s="4">
        <f>IF('Rhaniad y Ddeiliadaeth (Cymru)'!$D$18="Data Cofrestrfa Tir",'Prisiau Tai (Gogledd)'!G74,'Prisiau Tai (Gogledd)'!Y74)</f>
        <v>253794.52742134314</v>
      </c>
      <c r="AG74" s="4">
        <f>IF('Rhaniad y Ddeiliadaeth (Cymru)'!$D$18="Data Cofrestrfa Tir",'Prisiau Tai (Gogledd)'!H74,'Prisiau Tai (Gogledd)'!Z74)</f>
        <v>264321.90510562266</v>
      </c>
    </row>
    <row r="75" spans="2:33" x14ac:dyDescent="0.25">
      <c r="B75" s="20">
        <v>81</v>
      </c>
      <c r="C75" s="56">
        <v>237000</v>
      </c>
      <c r="D75" s="57">
        <f>C75*(1+'Rhaniad y Ddeiliadaeth (Gog)'!C$118)</f>
        <v>243732.12371446338</v>
      </c>
      <c r="E75" s="57">
        <f>D75*(1+'Rhaniad y Ddeiliadaeth (Gog)'!D$118)</f>
        <v>244274.80663032725</v>
      </c>
      <c r="F75" s="57">
        <f>E75*(1+'Rhaniad y Ddeiliadaeth (Gog)'!E$118)</f>
        <v>249532.67039961898</v>
      </c>
      <c r="G75" s="57">
        <f>F75*(1+'Rhaniad y Ddeiliadaeth (Gog)'!F$118)</f>
        <v>259264.23706404452</v>
      </c>
      <c r="H75" s="57">
        <f>G75*(1+'Rhaniad y Ddeiliadaeth (Gog)'!G$118)</f>
        <v>270018.4978880714</v>
      </c>
      <c r="L75" s="62" t="str">
        <f t="shared" si="4"/>
        <v/>
      </c>
      <c r="M75" s="239"/>
      <c r="N75" s="14">
        <f t="shared" si="7"/>
        <v>1</v>
      </c>
      <c r="T75" s="1">
        <f t="shared" si="5"/>
        <v>81</v>
      </c>
      <c r="U75" s="4" t="str">
        <f t="shared" si="6"/>
        <v/>
      </c>
      <c r="V75" s="4" t="e">
        <f>IF($V$3=$M$3,M75,U75*(1+'Rhaniad y Ddeiliadaeth (Cymru)'!C$118))</f>
        <v>#VALUE!</v>
      </c>
      <c r="W75" s="4" t="e">
        <f>V75*(1+'Rhaniad y Ddeiliadaeth (Cymru)'!D$118)</f>
        <v>#VALUE!</v>
      </c>
      <c r="X75" s="4" t="e">
        <f>W75*(1+'Rhaniad y Ddeiliadaeth (Cymru)'!E$118)</f>
        <v>#VALUE!</v>
      </c>
      <c r="Y75" s="4" t="e">
        <f>X75*(1+'Rhaniad y Ddeiliadaeth (Cymru)'!F$118)</f>
        <v>#VALUE!</v>
      </c>
      <c r="Z75" s="4" t="e">
        <f>Y75*(1+'Rhaniad y Ddeiliadaeth (Cymru)'!G$118)</f>
        <v>#VALUE!</v>
      </c>
      <c r="AB75" s="1">
        <v>81</v>
      </c>
      <c r="AC75" s="4">
        <f>IF('Rhaniad y Ddeiliadaeth (Cymru)'!$D$18="Data Cofrestrfa Tir",'Prisiau Tai (Gogledd)'!D75,'Prisiau Tai (Gogledd)'!V75)</f>
        <v>243732.12371446338</v>
      </c>
      <c r="AD75" s="4">
        <f>IF('Rhaniad y Ddeiliadaeth (Cymru)'!$D$18="Data Cofrestrfa Tir",'Prisiau Tai (Gogledd)'!E75,'Prisiau Tai (Gogledd)'!W75)</f>
        <v>244274.80663032725</v>
      </c>
      <c r="AE75" s="4">
        <f>IF('Rhaniad y Ddeiliadaeth (Cymru)'!$D$18="Data Cofrestrfa Tir",'Prisiau Tai (Gogledd)'!F75,'Prisiau Tai (Gogledd)'!X75)</f>
        <v>249532.67039961898</v>
      </c>
      <c r="AF75" s="4">
        <f>IF('Rhaniad y Ddeiliadaeth (Cymru)'!$D$18="Data Cofrestrfa Tir",'Prisiau Tai (Gogledd)'!G75,'Prisiau Tai (Gogledd)'!Y75)</f>
        <v>259264.23706404452</v>
      </c>
      <c r="AG75" s="4">
        <f>IF('Rhaniad y Ddeiliadaeth (Cymru)'!$D$18="Data Cofrestrfa Tir",'Prisiau Tai (Gogledd)'!H75,'Prisiau Tai (Gogledd)'!Z75)</f>
        <v>270018.4978880714</v>
      </c>
    </row>
    <row r="76" spans="2:33" x14ac:dyDescent="0.25">
      <c r="B76" s="20">
        <v>82</v>
      </c>
      <c r="C76" s="56">
        <v>240672.79999999984</v>
      </c>
      <c r="D76" s="57">
        <f>C76*(1+'Rhaniad y Ddeiliadaeth (Gog)'!C$118)</f>
        <v>247509.25174812769</v>
      </c>
      <c r="E76" s="57">
        <f>D76*(1+'Rhaniad y Ddeiliadaeth (Gog)'!D$118)</f>
        <v>248060.34464632653</v>
      </c>
      <c r="F76" s="57">
        <f>E76*(1+'Rhaniad y Ddeiliadaeth (Gog)'!E$118)</f>
        <v>253399.68977448685</v>
      </c>
      <c r="G76" s="57">
        <f>F76*(1+'Rhaniad y Ddeiliadaeth (Gog)'!F$118)</f>
        <v>263282.06697918708</v>
      </c>
      <c r="H76" s="57">
        <f>G76*(1+'Rhaniad y Ddeiliadaeth (Gog)'!G$118)</f>
        <v>274202.98708234681</v>
      </c>
      <c r="L76" s="62" t="str">
        <f t="shared" si="4"/>
        <v/>
      </c>
      <c r="M76" s="239"/>
      <c r="N76" s="14">
        <f t="shared" si="7"/>
        <v>1</v>
      </c>
      <c r="T76" s="1">
        <f t="shared" si="5"/>
        <v>82</v>
      </c>
      <c r="U76" s="4" t="str">
        <f t="shared" si="6"/>
        <v/>
      </c>
      <c r="V76" s="4" t="e">
        <f>IF($V$3=$M$3,M76,U76*(1+'Rhaniad y Ddeiliadaeth (Cymru)'!C$118))</f>
        <v>#VALUE!</v>
      </c>
      <c r="W76" s="4" t="e">
        <f>V76*(1+'Rhaniad y Ddeiliadaeth (Cymru)'!D$118)</f>
        <v>#VALUE!</v>
      </c>
      <c r="X76" s="4" t="e">
        <f>W76*(1+'Rhaniad y Ddeiliadaeth (Cymru)'!E$118)</f>
        <v>#VALUE!</v>
      </c>
      <c r="Y76" s="4" t="e">
        <f>X76*(1+'Rhaniad y Ddeiliadaeth (Cymru)'!F$118)</f>
        <v>#VALUE!</v>
      </c>
      <c r="Z76" s="4" t="e">
        <f>Y76*(1+'Rhaniad y Ddeiliadaeth (Cymru)'!G$118)</f>
        <v>#VALUE!</v>
      </c>
      <c r="AB76" s="1">
        <v>82</v>
      </c>
      <c r="AC76" s="4">
        <f>IF('Rhaniad y Ddeiliadaeth (Cymru)'!$D$18="Data Cofrestrfa Tir",'Prisiau Tai (Gogledd)'!D76,'Prisiau Tai (Gogledd)'!V76)</f>
        <v>247509.25174812769</v>
      </c>
      <c r="AD76" s="4">
        <f>IF('Rhaniad y Ddeiliadaeth (Cymru)'!$D$18="Data Cofrestrfa Tir",'Prisiau Tai (Gogledd)'!E76,'Prisiau Tai (Gogledd)'!W76)</f>
        <v>248060.34464632653</v>
      </c>
      <c r="AE76" s="4">
        <f>IF('Rhaniad y Ddeiliadaeth (Cymru)'!$D$18="Data Cofrestrfa Tir",'Prisiau Tai (Gogledd)'!F76,'Prisiau Tai (Gogledd)'!X76)</f>
        <v>253399.68977448685</v>
      </c>
      <c r="AF76" s="4">
        <f>IF('Rhaniad y Ddeiliadaeth (Cymru)'!$D$18="Data Cofrestrfa Tir",'Prisiau Tai (Gogledd)'!G76,'Prisiau Tai (Gogledd)'!Y76)</f>
        <v>263282.06697918708</v>
      </c>
      <c r="AG76" s="4">
        <f>IF('Rhaniad y Ddeiliadaeth (Cymru)'!$D$18="Data Cofrestrfa Tir",'Prisiau Tai (Gogledd)'!H76,'Prisiau Tai (Gogledd)'!Z76)</f>
        <v>274202.98708234681</v>
      </c>
    </row>
    <row r="77" spans="2:33" x14ac:dyDescent="0.25">
      <c r="B77" s="20">
        <v>83</v>
      </c>
      <c r="C77" s="56">
        <v>246000</v>
      </c>
      <c r="D77" s="57">
        <f>C77*(1+'Rhaniad y Ddeiliadaeth (Gog)'!C$118)</f>
        <v>252987.77398210124</v>
      </c>
      <c r="E77" s="57">
        <f>D77*(1+'Rhaniad y Ddeiliadaeth (Gog)'!D$118)</f>
        <v>253551.06510995995</v>
      </c>
      <c r="F77" s="57">
        <f>E77*(1+'Rhaniad y Ddeiliadaeth (Gog)'!E$118)</f>
        <v>259008.59459200958</v>
      </c>
      <c r="G77" s="57">
        <f>F77*(1+'Rhaniad y Ddeiliadaeth (Gog)'!F$118)</f>
        <v>269109.71442090697</v>
      </c>
      <c r="H77" s="57">
        <f>G77*(1+'Rhaniad y Ddeiliadaeth (Gog)'!G$118)</f>
        <v>280272.36489647918</v>
      </c>
      <c r="L77" s="62" t="str">
        <f t="shared" si="4"/>
        <v/>
      </c>
      <c r="M77" s="239"/>
      <c r="N77" s="14">
        <f t="shared" si="7"/>
        <v>1</v>
      </c>
      <c r="T77" s="1">
        <f t="shared" si="5"/>
        <v>83</v>
      </c>
      <c r="U77" s="4" t="str">
        <f t="shared" si="6"/>
        <v/>
      </c>
      <c r="V77" s="4" t="e">
        <f>IF($V$3=$M$3,M77,U77*(1+'Rhaniad y Ddeiliadaeth (Cymru)'!C$118))</f>
        <v>#VALUE!</v>
      </c>
      <c r="W77" s="4" t="e">
        <f>V77*(1+'Rhaniad y Ddeiliadaeth (Cymru)'!D$118)</f>
        <v>#VALUE!</v>
      </c>
      <c r="X77" s="4" t="e">
        <f>W77*(1+'Rhaniad y Ddeiliadaeth (Cymru)'!E$118)</f>
        <v>#VALUE!</v>
      </c>
      <c r="Y77" s="4" t="e">
        <f>X77*(1+'Rhaniad y Ddeiliadaeth (Cymru)'!F$118)</f>
        <v>#VALUE!</v>
      </c>
      <c r="Z77" s="4" t="e">
        <f>Y77*(1+'Rhaniad y Ddeiliadaeth (Cymru)'!G$118)</f>
        <v>#VALUE!</v>
      </c>
      <c r="AB77" s="1">
        <v>83</v>
      </c>
      <c r="AC77" s="4">
        <f>IF('Rhaniad y Ddeiliadaeth (Cymru)'!$D$18="Data Cofrestrfa Tir",'Prisiau Tai (Gogledd)'!D77,'Prisiau Tai (Gogledd)'!V77)</f>
        <v>252987.77398210124</v>
      </c>
      <c r="AD77" s="4">
        <f>IF('Rhaniad y Ddeiliadaeth (Cymru)'!$D$18="Data Cofrestrfa Tir",'Prisiau Tai (Gogledd)'!E77,'Prisiau Tai (Gogledd)'!W77)</f>
        <v>253551.06510995995</v>
      </c>
      <c r="AE77" s="4">
        <f>IF('Rhaniad y Ddeiliadaeth (Cymru)'!$D$18="Data Cofrestrfa Tir",'Prisiau Tai (Gogledd)'!F77,'Prisiau Tai (Gogledd)'!X77)</f>
        <v>259008.59459200958</v>
      </c>
      <c r="AF77" s="4">
        <f>IF('Rhaniad y Ddeiliadaeth (Cymru)'!$D$18="Data Cofrestrfa Tir",'Prisiau Tai (Gogledd)'!G77,'Prisiau Tai (Gogledd)'!Y77)</f>
        <v>269109.71442090697</v>
      </c>
      <c r="AG77" s="4">
        <f>IF('Rhaniad y Ddeiliadaeth (Cymru)'!$D$18="Data Cofrestrfa Tir",'Prisiau Tai (Gogledd)'!H77,'Prisiau Tai (Gogledd)'!Z77)</f>
        <v>280272.36489647918</v>
      </c>
    </row>
    <row r="78" spans="2:33" x14ac:dyDescent="0.25">
      <c r="B78" s="20">
        <v>84</v>
      </c>
      <c r="C78" s="56">
        <v>250000</v>
      </c>
      <c r="D78" s="57">
        <f>C78*(1+'Rhaniad y Ddeiliadaeth (Gog)'!C$118)</f>
        <v>257101.3963232736</v>
      </c>
      <c r="E78" s="57">
        <f>D78*(1+'Rhaniad y Ddeiliadaeth (Gog)'!D$118)</f>
        <v>257673.84665646334</v>
      </c>
      <c r="F78" s="57">
        <f>E78*(1+'Rhaniad y Ddeiliadaeth (Gog)'!E$118)</f>
        <v>263220.11645529431</v>
      </c>
      <c r="G78" s="57">
        <f>F78*(1+'Rhaniad y Ddeiliadaeth (Gog)'!F$118)</f>
        <v>273485.48213506804</v>
      </c>
      <c r="H78" s="57">
        <f>G78*(1+'Rhaniad y Ddeiliadaeth (Gog)'!G$118)</f>
        <v>284829.63912243821</v>
      </c>
      <c r="L78" s="62" t="str">
        <f t="shared" si="4"/>
        <v/>
      </c>
      <c r="M78" s="239"/>
      <c r="N78" s="14">
        <f t="shared" si="7"/>
        <v>1</v>
      </c>
      <c r="T78" s="1">
        <f t="shared" si="5"/>
        <v>84</v>
      </c>
      <c r="U78" s="4" t="str">
        <f t="shared" si="6"/>
        <v/>
      </c>
      <c r="V78" s="4" t="e">
        <f>IF($V$3=$M$3,M78,U78*(1+'Rhaniad y Ddeiliadaeth (Cymru)'!C$118))</f>
        <v>#VALUE!</v>
      </c>
      <c r="W78" s="4" t="e">
        <f>V78*(1+'Rhaniad y Ddeiliadaeth (Cymru)'!D$118)</f>
        <v>#VALUE!</v>
      </c>
      <c r="X78" s="4" t="e">
        <f>W78*(1+'Rhaniad y Ddeiliadaeth (Cymru)'!E$118)</f>
        <v>#VALUE!</v>
      </c>
      <c r="Y78" s="4" t="e">
        <f>X78*(1+'Rhaniad y Ddeiliadaeth (Cymru)'!F$118)</f>
        <v>#VALUE!</v>
      </c>
      <c r="Z78" s="4" t="e">
        <f>Y78*(1+'Rhaniad y Ddeiliadaeth (Cymru)'!G$118)</f>
        <v>#VALUE!</v>
      </c>
      <c r="AB78" s="1">
        <v>84</v>
      </c>
      <c r="AC78" s="4">
        <f>IF('Rhaniad y Ddeiliadaeth (Cymru)'!$D$18="Data Cofrestrfa Tir",'Prisiau Tai (Gogledd)'!D78,'Prisiau Tai (Gogledd)'!V78)</f>
        <v>257101.3963232736</v>
      </c>
      <c r="AD78" s="4">
        <f>IF('Rhaniad y Ddeiliadaeth (Cymru)'!$D$18="Data Cofrestrfa Tir",'Prisiau Tai (Gogledd)'!E78,'Prisiau Tai (Gogledd)'!W78)</f>
        <v>257673.84665646334</v>
      </c>
      <c r="AE78" s="4">
        <f>IF('Rhaniad y Ddeiliadaeth (Cymru)'!$D$18="Data Cofrestrfa Tir",'Prisiau Tai (Gogledd)'!F78,'Prisiau Tai (Gogledd)'!X78)</f>
        <v>263220.11645529431</v>
      </c>
      <c r="AF78" s="4">
        <f>IF('Rhaniad y Ddeiliadaeth (Cymru)'!$D$18="Data Cofrestrfa Tir",'Prisiau Tai (Gogledd)'!G78,'Prisiau Tai (Gogledd)'!Y78)</f>
        <v>273485.48213506804</v>
      </c>
      <c r="AG78" s="4">
        <f>IF('Rhaniad y Ddeiliadaeth (Cymru)'!$D$18="Data Cofrestrfa Tir",'Prisiau Tai (Gogledd)'!H78,'Prisiau Tai (Gogledd)'!Z78)</f>
        <v>284829.63912243821</v>
      </c>
    </row>
    <row r="79" spans="2:33" x14ac:dyDescent="0.25">
      <c r="B79" s="20">
        <v>85</v>
      </c>
      <c r="C79" s="56">
        <v>255500</v>
      </c>
      <c r="D79" s="57">
        <f>C79*(1+'Rhaniad y Ddeiliadaeth (Gog)'!C$118)</f>
        <v>262757.62704238563</v>
      </c>
      <c r="E79" s="57">
        <f>D79*(1+'Rhaniad y Ddeiliadaeth (Gog)'!D$118)</f>
        <v>263342.67128290556</v>
      </c>
      <c r="F79" s="57">
        <f>E79*(1+'Rhaniad y Ddeiliadaeth (Gog)'!E$118)</f>
        <v>269010.95901731076</v>
      </c>
      <c r="G79" s="57">
        <f>F79*(1+'Rhaniad y Ddeiliadaeth (Gog)'!F$118)</f>
        <v>279502.16274203954</v>
      </c>
      <c r="H79" s="57">
        <f>G79*(1+'Rhaniad y Ddeiliadaeth (Gog)'!G$118)</f>
        <v>291095.89118313184</v>
      </c>
      <c r="L79" s="62" t="str">
        <f t="shared" si="4"/>
        <v/>
      </c>
      <c r="M79" s="239"/>
      <c r="N79" s="14">
        <f t="shared" si="7"/>
        <v>1</v>
      </c>
      <c r="T79" s="1">
        <f t="shared" si="5"/>
        <v>85</v>
      </c>
      <c r="U79" s="4" t="str">
        <f t="shared" si="6"/>
        <v/>
      </c>
      <c r="V79" s="4" t="e">
        <f>IF($V$3=$M$3,M79,U79*(1+'Rhaniad y Ddeiliadaeth (Cymru)'!C$118))</f>
        <v>#VALUE!</v>
      </c>
      <c r="W79" s="4" t="e">
        <f>V79*(1+'Rhaniad y Ddeiliadaeth (Cymru)'!D$118)</f>
        <v>#VALUE!</v>
      </c>
      <c r="X79" s="4" t="e">
        <f>W79*(1+'Rhaniad y Ddeiliadaeth (Cymru)'!E$118)</f>
        <v>#VALUE!</v>
      </c>
      <c r="Y79" s="4" t="e">
        <f>X79*(1+'Rhaniad y Ddeiliadaeth (Cymru)'!F$118)</f>
        <v>#VALUE!</v>
      </c>
      <c r="Z79" s="4" t="e">
        <f>Y79*(1+'Rhaniad y Ddeiliadaeth (Cymru)'!G$118)</f>
        <v>#VALUE!</v>
      </c>
      <c r="AB79" s="1">
        <v>85</v>
      </c>
      <c r="AC79" s="4">
        <f>IF('Rhaniad y Ddeiliadaeth (Cymru)'!$D$18="Data Cofrestrfa Tir",'Prisiau Tai (Gogledd)'!D79,'Prisiau Tai (Gogledd)'!V79)</f>
        <v>262757.62704238563</v>
      </c>
      <c r="AD79" s="4">
        <f>IF('Rhaniad y Ddeiliadaeth (Cymru)'!$D$18="Data Cofrestrfa Tir",'Prisiau Tai (Gogledd)'!E79,'Prisiau Tai (Gogledd)'!W79)</f>
        <v>263342.67128290556</v>
      </c>
      <c r="AE79" s="4">
        <f>IF('Rhaniad y Ddeiliadaeth (Cymru)'!$D$18="Data Cofrestrfa Tir",'Prisiau Tai (Gogledd)'!F79,'Prisiau Tai (Gogledd)'!X79)</f>
        <v>269010.95901731076</v>
      </c>
      <c r="AF79" s="4">
        <f>IF('Rhaniad y Ddeiliadaeth (Cymru)'!$D$18="Data Cofrestrfa Tir",'Prisiau Tai (Gogledd)'!G79,'Prisiau Tai (Gogledd)'!Y79)</f>
        <v>279502.16274203954</v>
      </c>
      <c r="AG79" s="4">
        <f>IF('Rhaniad y Ddeiliadaeth (Cymru)'!$D$18="Data Cofrestrfa Tir",'Prisiau Tai (Gogledd)'!H79,'Prisiau Tai (Gogledd)'!Z79)</f>
        <v>291095.89118313184</v>
      </c>
    </row>
    <row r="80" spans="2:33" x14ac:dyDescent="0.25">
      <c r="B80" s="20">
        <v>86</v>
      </c>
      <c r="C80" s="56">
        <v>260000</v>
      </c>
      <c r="D80" s="57">
        <f>C80*(1+'Rhaniad y Ddeiliadaeth (Gog)'!C$118)</f>
        <v>267385.45217620453</v>
      </c>
      <c r="E80" s="57">
        <f>D80*(1+'Rhaniad y Ddeiliadaeth (Gog)'!D$118)</f>
        <v>267980.80052272184</v>
      </c>
      <c r="F80" s="57">
        <f>E80*(1+'Rhaniad y Ddeiliadaeth (Gog)'!E$118)</f>
        <v>273748.92111350602</v>
      </c>
      <c r="G80" s="57">
        <f>F80*(1+'Rhaniad y Ddeiliadaeth (Gog)'!F$118)</f>
        <v>284424.90142047073</v>
      </c>
      <c r="H80" s="57">
        <f>G80*(1+'Rhaniad y Ddeiliadaeth (Gog)'!G$118)</f>
        <v>296222.8246873357</v>
      </c>
      <c r="L80" s="62" t="str">
        <f t="shared" si="4"/>
        <v/>
      </c>
      <c r="M80" s="239"/>
      <c r="N80" s="14">
        <f t="shared" si="7"/>
        <v>1</v>
      </c>
      <c r="T80" s="1">
        <f t="shared" si="5"/>
        <v>86</v>
      </c>
      <c r="U80" s="4" t="str">
        <f t="shared" si="6"/>
        <v/>
      </c>
      <c r="V80" s="4" t="e">
        <f>IF($V$3=$M$3,M80,U80*(1+'Rhaniad y Ddeiliadaeth (Cymru)'!C$118))</f>
        <v>#VALUE!</v>
      </c>
      <c r="W80" s="4" t="e">
        <f>V80*(1+'Rhaniad y Ddeiliadaeth (Cymru)'!D$118)</f>
        <v>#VALUE!</v>
      </c>
      <c r="X80" s="4" t="e">
        <f>W80*(1+'Rhaniad y Ddeiliadaeth (Cymru)'!E$118)</f>
        <v>#VALUE!</v>
      </c>
      <c r="Y80" s="4" t="e">
        <f>X80*(1+'Rhaniad y Ddeiliadaeth (Cymru)'!F$118)</f>
        <v>#VALUE!</v>
      </c>
      <c r="Z80" s="4" t="e">
        <f>Y80*(1+'Rhaniad y Ddeiliadaeth (Cymru)'!G$118)</f>
        <v>#VALUE!</v>
      </c>
      <c r="AB80" s="1">
        <v>86</v>
      </c>
      <c r="AC80" s="4">
        <f>IF('Rhaniad y Ddeiliadaeth (Cymru)'!$D$18="Data Cofrestrfa Tir",'Prisiau Tai (Gogledd)'!D80,'Prisiau Tai (Gogledd)'!V80)</f>
        <v>267385.45217620453</v>
      </c>
      <c r="AD80" s="4">
        <f>IF('Rhaniad y Ddeiliadaeth (Cymru)'!$D$18="Data Cofrestrfa Tir",'Prisiau Tai (Gogledd)'!E80,'Prisiau Tai (Gogledd)'!W80)</f>
        <v>267980.80052272184</v>
      </c>
      <c r="AE80" s="4">
        <f>IF('Rhaniad y Ddeiliadaeth (Cymru)'!$D$18="Data Cofrestrfa Tir",'Prisiau Tai (Gogledd)'!F80,'Prisiau Tai (Gogledd)'!X80)</f>
        <v>273748.92111350602</v>
      </c>
      <c r="AF80" s="4">
        <f>IF('Rhaniad y Ddeiliadaeth (Cymru)'!$D$18="Data Cofrestrfa Tir",'Prisiau Tai (Gogledd)'!G80,'Prisiau Tai (Gogledd)'!Y80)</f>
        <v>284424.90142047073</v>
      </c>
      <c r="AG80" s="4">
        <f>IF('Rhaniad y Ddeiliadaeth (Cymru)'!$D$18="Data Cofrestrfa Tir",'Prisiau Tai (Gogledd)'!H80,'Prisiau Tai (Gogledd)'!Z80)</f>
        <v>296222.8246873357</v>
      </c>
    </row>
    <row r="81" spans="2:33" x14ac:dyDescent="0.25">
      <c r="B81" s="20">
        <v>87</v>
      </c>
      <c r="C81" s="56">
        <v>267500</v>
      </c>
      <c r="D81" s="57">
        <f>C81*(1+'Rhaniad y Ddeiliadaeth (Gog)'!C$118)</f>
        <v>275098.49406590278</v>
      </c>
      <c r="E81" s="57">
        <f>D81*(1+'Rhaniad y Ddeiliadaeth (Gog)'!D$118)</f>
        <v>275711.01592241577</v>
      </c>
      <c r="F81" s="57">
        <f>E81*(1+'Rhaniad y Ddeiliadaeth (Gog)'!E$118)</f>
        <v>281645.52460716484</v>
      </c>
      <c r="G81" s="57">
        <f>F81*(1+'Rhaniad y Ddeiliadaeth (Gog)'!F$118)</f>
        <v>292629.46588452277</v>
      </c>
      <c r="H81" s="57">
        <f>G81*(1+'Rhaniad y Ddeiliadaeth (Gog)'!G$118)</f>
        <v>304767.71386100882</v>
      </c>
      <c r="L81" s="62" t="str">
        <f t="shared" si="4"/>
        <v/>
      </c>
      <c r="M81" s="239"/>
      <c r="N81" s="14">
        <f t="shared" si="7"/>
        <v>1</v>
      </c>
      <c r="T81" s="1">
        <f t="shared" si="5"/>
        <v>87</v>
      </c>
      <c r="U81" s="4" t="str">
        <f t="shared" si="6"/>
        <v/>
      </c>
      <c r="V81" s="4" t="e">
        <f>IF($V$3=$M$3,M81,U81*(1+'Rhaniad y Ddeiliadaeth (Cymru)'!C$118))</f>
        <v>#VALUE!</v>
      </c>
      <c r="W81" s="4" t="e">
        <f>V81*(1+'Rhaniad y Ddeiliadaeth (Cymru)'!D$118)</f>
        <v>#VALUE!</v>
      </c>
      <c r="X81" s="4" t="e">
        <f>W81*(1+'Rhaniad y Ddeiliadaeth (Cymru)'!E$118)</f>
        <v>#VALUE!</v>
      </c>
      <c r="Y81" s="4" t="e">
        <f>X81*(1+'Rhaniad y Ddeiliadaeth (Cymru)'!F$118)</f>
        <v>#VALUE!</v>
      </c>
      <c r="Z81" s="4" t="e">
        <f>Y81*(1+'Rhaniad y Ddeiliadaeth (Cymru)'!G$118)</f>
        <v>#VALUE!</v>
      </c>
      <c r="AB81" s="1">
        <v>87</v>
      </c>
      <c r="AC81" s="4">
        <f>IF('Rhaniad y Ddeiliadaeth (Cymru)'!$D$18="Data Cofrestrfa Tir",'Prisiau Tai (Gogledd)'!D81,'Prisiau Tai (Gogledd)'!V81)</f>
        <v>275098.49406590278</v>
      </c>
      <c r="AD81" s="4">
        <f>IF('Rhaniad y Ddeiliadaeth (Cymru)'!$D$18="Data Cofrestrfa Tir",'Prisiau Tai (Gogledd)'!E81,'Prisiau Tai (Gogledd)'!W81)</f>
        <v>275711.01592241577</v>
      </c>
      <c r="AE81" s="4">
        <f>IF('Rhaniad y Ddeiliadaeth (Cymru)'!$D$18="Data Cofrestrfa Tir",'Prisiau Tai (Gogledd)'!F81,'Prisiau Tai (Gogledd)'!X81)</f>
        <v>281645.52460716484</v>
      </c>
      <c r="AF81" s="4">
        <f>IF('Rhaniad y Ddeiliadaeth (Cymru)'!$D$18="Data Cofrestrfa Tir",'Prisiau Tai (Gogledd)'!G81,'Prisiau Tai (Gogledd)'!Y81)</f>
        <v>292629.46588452277</v>
      </c>
      <c r="AG81" s="4">
        <f>IF('Rhaniad y Ddeiliadaeth (Cymru)'!$D$18="Data Cofrestrfa Tir",'Prisiau Tai (Gogledd)'!H81,'Prisiau Tai (Gogledd)'!Z81)</f>
        <v>304767.71386100882</v>
      </c>
    </row>
    <row r="82" spans="2:33" x14ac:dyDescent="0.25">
      <c r="B82" s="20">
        <v>88</v>
      </c>
      <c r="C82" s="56">
        <v>275000</v>
      </c>
      <c r="D82" s="57">
        <f>C82*(1+'Rhaniad y Ddeiliadaeth (Gog)'!C$118)</f>
        <v>282811.53595560096</v>
      </c>
      <c r="E82" s="57">
        <f>D82*(1+'Rhaniad y Ddeiliadaeth (Gog)'!D$118)</f>
        <v>283441.2313221097</v>
      </c>
      <c r="F82" s="57">
        <f>E82*(1+'Rhaniad y Ddeiliadaeth (Gog)'!E$118)</f>
        <v>289542.12810082373</v>
      </c>
      <c r="G82" s="57">
        <f>F82*(1+'Rhaniad y Ddeiliadaeth (Gog)'!F$118)</f>
        <v>300834.03034857486</v>
      </c>
      <c r="H82" s="57">
        <f>G82*(1+'Rhaniad y Ddeiliadaeth (Gog)'!G$118)</f>
        <v>313312.60303468199</v>
      </c>
      <c r="L82" s="62" t="str">
        <f t="shared" si="4"/>
        <v/>
      </c>
      <c r="M82" s="239"/>
      <c r="N82" s="14">
        <f t="shared" si="7"/>
        <v>1</v>
      </c>
      <c r="T82" s="1">
        <f t="shared" si="5"/>
        <v>88</v>
      </c>
      <c r="U82" s="4" t="str">
        <f t="shared" si="6"/>
        <v/>
      </c>
      <c r="V82" s="4" t="e">
        <f>IF($V$3=$M$3,M82,U82*(1+'Rhaniad y Ddeiliadaeth (Cymru)'!C$118))</f>
        <v>#VALUE!</v>
      </c>
      <c r="W82" s="4" t="e">
        <f>V82*(1+'Rhaniad y Ddeiliadaeth (Cymru)'!D$118)</f>
        <v>#VALUE!</v>
      </c>
      <c r="X82" s="4" t="e">
        <f>W82*(1+'Rhaniad y Ddeiliadaeth (Cymru)'!E$118)</f>
        <v>#VALUE!</v>
      </c>
      <c r="Y82" s="4" t="e">
        <f>X82*(1+'Rhaniad y Ddeiliadaeth (Cymru)'!F$118)</f>
        <v>#VALUE!</v>
      </c>
      <c r="Z82" s="4" t="e">
        <f>Y82*(1+'Rhaniad y Ddeiliadaeth (Cymru)'!G$118)</f>
        <v>#VALUE!</v>
      </c>
      <c r="AB82" s="1">
        <v>88</v>
      </c>
      <c r="AC82" s="4">
        <f>IF('Rhaniad y Ddeiliadaeth (Cymru)'!$D$18="Data Cofrestrfa Tir",'Prisiau Tai (Gogledd)'!D82,'Prisiau Tai (Gogledd)'!V82)</f>
        <v>282811.53595560096</v>
      </c>
      <c r="AD82" s="4">
        <f>IF('Rhaniad y Ddeiliadaeth (Cymru)'!$D$18="Data Cofrestrfa Tir",'Prisiau Tai (Gogledd)'!E82,'Prisiau Tai (Gogledd)'!W82)</f>
        <v>283441.2313221097</v>
      </c>
      <c r="AE82" s="4">
        <f>IF('Rhaniad y Ddeiliadaeth (Cymru)'!$D$18="Data Cofrestrfa Tir",'Prisiau Tai (Gogledd)'!F82,'Prisiau Tai (Gogledd)'!X82)</f>
        <v>289542.12810082373</v>
      </c>
      <c r="AF82" s="4">
        <f>IF('Rhaniad y Ddeiliadaeth (Cymru)'!$D$18="Data Cofrestrfa Tir",'Prisiau Tai (Gogledd)'!G82,'Prisiau Tai (Gogledd)'!Y82)</f>
        <v>300834.03034857486</v>
      </c>
      <c r="AG82" s="4">
        <f>IF('Rhaniad y Ddeiliadaeth (Cymru)'!$D$18="Data Cofrestrfa Tir",'Prisiau Tai (Gogledd)'!H82,'Prisiau Tai (Gogledd)'!Z82)</f>
        <v>313312.60303468199</v>
      </c>
    </row>
    <row r="83" spans="2:33" x14ac:dyDescent="0.25">
      <c r="B83" s="20">
        <v>89</v>
      </c>
      <c r="C83" s="56">
        <v>280000</v>
      </c>
      <c r="D83" s="57">
        <f>C83*(1+'Rhaniad y Ddeiliadaeth (Gog)'!C$118)</f>
        <v>287953.56388206646</v>
      </c>
      <c r="E83" s="57">
        <f>D83*(1+'Rhaniad y Ddeiliadaeth (Gog)'!D$118)</f>
        <v>288594.70825523895</v>
      </c>
      <c r="F83" s="57">
        <f>E83*(1+'Rhaniad y Ddeiliadaeth (Gog)'!E$118)</f>
        <v>294806.53042992961</v>
      </c>
      <c r="G83" s="57">
        <f>F83*(1+'Rhaniad y Ddeiliadaeth (Gog)'!F$118)</f>
        <v>306303.73999127623</v>
      </c>
      <c r="H83" s="57">
        <f>G83*(1+'Rhaniad y Ddeiliadaeth (Gog)'!G$118)</f>
        <v>319009.19581713079</v>
      </c>
      <c r="L83" s="62" t="str">
        <f t="shared" si="4"/>
        <v/>
      </c>
      <c r="M83" s="239"/>
      <c r="N83" s="14">
        <f t="shared" si="7"/>
        <v>1</v>
      </c>
      <c r="T83" s="1">
        <f t="shared" si="5"/>
        <v>89</v>
      </c>
      <c r="U83" s="4" t="str">
        <f t="shared" si="6"/>
        <v/>
      </c>
      <c r="V83" s="4" t="e">
        <f>IF($V$3=$M$3,M83,U83*(1+'Rhaniad y Ddeiliadaeth (Cymru)'!C$118))</f>
        <v>#VALUE!</v>
      </c>
      <c r="W83" s="4" t="e">
        <f>V83*(1+'Rhaniad y Ddeiliadaeth (Cymru)'!D$118)</f>
        <v>#VALUE!</v>
      </c>
      <c r="X83" s="4" t="e">
        <f>W83*(1+'Rhaniad y Ddeiliadaeth (Cymru)'!E$118)</f>
        <v>#VALUE!</v>
      </c>
      <c r="Y83" s="4" t="e">
        <f>X83*(1+'Rhaniad y Ddeiliadaeth (Cymru)'!F$118)</f>
        <v>#VALUE!</v>
      </c>
      <c r="Z83" s="4" t="e">
        <f>Y83*(1+'Rhaniad y Ddeiliadaeth (Cymru)'!G$118)</f>
        <v>#VALUE!</v>
      </c>
      <c r="AB83" s="1">
        <v>89</v>
      </c>
      <c r="AC83" s="4">
        <f>IF('Rhaniad y Ddeiliadaeth (Cymru)'!$D$18="Data Cofrestrfa Tir",'Prisiau Tai (Gogledd)'!D83,'Prisiau Tai (Gogledd)'!V83)</f>
        <v>287953.56388206646</v>
      </c>
      <c r="AD83" s="4">
        <f>IF('Rhaniad y Ddeiliadaeth (Cymru)'!$D$18="Data Cofrestrfa Tir",'Prisiau Tai (Gogledd)'!E83,'Prisiau Tai (Gogledd)'!W83)</f>
        <v>288594.70825523895</v>
      </c>
      <c r="AE83" s="4">
        <f>IF('Rhaniad y Ddeiliadaeth (Cymru)'!$D$18="Data Cofrestrfa Tir",'Prisiau Tai (Gogledd)'!F83,'Prisiau Tai (Gogledd)'!X83)</f>
        <v>294806.53042992961</v>
      </c>
      <c r="AF83" s="4">
        <f>IF('Rhaniad y Ddeiliadaeth (Cymru)'!$D$18="Data Cofrestrfa Tir",'Prisiau Tai (Gogledd)'!G83,'Prisiau Tai (Gogledd)'!Y83)</f>
        <v>306303.73999127623</v>
      </c>
      <c r="AG83" s="4">
        <f>IF('Rhaniad y Ddeiliadaeth (Cymru)'!$D$18="Data Cofrestrfa Tir",'Prisiau Tai (Gogledd)'!H83,'Prisiau Tai (Gogledd)'!Z83)</f>
        <v>319009.19581713079</v>
      </c>
    </row>
    <row r="84" spans="2:33" x14ac:dyDescent="0.25">
      <c r="B84" s="23">
        <v>90</v>
      </c>
      <c r="C84" s="59">
        <v>289950</v>
      </c>
      <c r="D84" s="57">
        <f>C84*(1+'Rhaniad y Ddeiliadaeth (Gog)'!C$118)</f>
        <v>298186.19945573271</v>
      </c>
      <c r="E84" s="57">
        <f>D84*(1+'Rhaniad y Ddeiliadaeth (Gog)'!D$118)</f>
        <v>298850.12735216616</v>
      </c>
      <c r="F84" s="57">
        <f>E84*(1+'Rhaniad y Ddeiliadaeth (Gog)'!E$118)</f>
        <v>305282.69106485031</v>
      </c>
      <c r="G84" s="57">
        <f>F84*(1+'Rhaniad y Ddeiliadaeth (Gog)'!F$118)</f>
        <v>317188.4621802519</v>
      </c>
      <c r="H84" s="57">
        <f>G84*(1+'Rhaniad y Ddeiliadaeth (Gog)'!G$118)</f>
        <v>330345.41545420379</v>
      </c>
      <c r="L84" s="63" t="str">
        <f t="shared" si="4"/>
        <v/>
      </c>
      <c r="M84" s="240"/>
      <c r="N84" s="14">
        <f t="shared" si="7"/>
        <v>1</v>
      </c>
      <c r="T84" s="1">
        <f t="shared" si="5"/>
        <v>90</v>
      </c>
      <c r="U84" s="4" t="str">
        <f t="shared" si="6"/>
        <v/>
      </c>
      <c r="V84" s="4" t="e">
        <f>IF($V$3=$M$3,M84,U84*(1+'Rhaniad y Ddeiliadaeth (Cymru)'!C$118))</f>
        <v>#VALUE!</v>
      </c>
      <c r="W84" s="4" t="e">
        <f>V84*(1+'Rhaniad y Ddeiliadaeth (Cymru)'!D$118)</f>
        <v>#VALUE!</v>
      </c>
      <c r="X84" s="4" t="e">
        <f>W84*(1+'Rhaniad y Ddeiliadaeth (Cymru)'!E$118)</f>
        <v>#VALUE!</v>
      </c>
      <c r="Y84" s="4" t="e">
        <f>X84*(1+'Rhaniad y Ddeiliadaeth (Cymru)'!F$118)</f>
        <v>#VALUE!</v>
      </c>
      <c r="Z84" s="4" t="e">
        <f>Y84*(1+'Rhaniad y Ddeiliadaeth (Cymru)'!G$118)</f>
        <v>#VALUE!</v>
      </c>
      <c r="AB84" s="1">
        <v>90</v>
      </c>
      <c r="AC84" s="4">
        <f>IF('Rhaniad y Ddeiliadaeth (Cymru)'!$D$18="Data Cofrestrfa Tir",'Prisiau Tai (Gogledd)'!D84,'Prisiau Tai (Gogledd)'!V84)</f>
        <v>298186.19945573271</v>
      </c>
      <c r="AD84" s="4">
        <f>IF('Rhaniad y Ddeiliadaeth (Cymru)'!$D$18="Data Cofrestrfa Tir",'Prisiau Tai (Gogledd)'!E84,'Prisiau Tai (Gogledd)'!W84)</f>
        <v>298850.12735216616</v>
      </c>
      <c r="AE84" s="4">
        <f>IF('Rhaniad y Ddeiliadaeth (Cymru)'!$D$18="Data Cofrestrfa Tir",'Prisiau Tai (Gogledd)'!F84,'Prisiau Tai (Gogledd)'!X84)</f>
        <v>305282.69106485031</v>
      </c>
      <c r="AF84" s="4">
        <f>IF('Rhaniad y Ddeiliadaeth (Cymru)'!$D$18="Data Cofrestrfa Tir",'Prisiau Tai (Gogledd)'!G84,'Prisiau Tai (Gogledd)'!Y84)</f>
        <v>317188.4621802519</v>
      </c>
      <c r="AG84" s="4">
        <f>IF('Rhaniad y Ddeiliadaeth (Cymru)'!$D$18="Data Cofrestrfa Tir",'Prisiau Tai (Gogledd)'!H84,'Prisiau Tai (Gogledd)'!Z84)</f>
        <v>330345.41545420379</v>
      </c>
    </row>
    <row r="85" spans="2:33" x14ac:dyDescent="0.25">
      <c r="N85" s="14">
        <f>IF(SUM(N4:N84)&gt;0,1,0)</f>
        <v>1</v>
      </c>
    </row>
  </sheetData>
  <sheetProtection sheet="1" objects="1" scenarios="1"/>
  <mergeCells count="3">
    <mergeCell ref="B2:H2"/>
    <mergeCell ref="J2:M2"/>
    <mergeCell ref="J9:J10"/>
  </mergeCells>
  <dataValidations count="2">
    <dataValidation type="list" allowBlank="1" showInputMessage="1" showErrorMessage="1" sqref="K4">
      <formula1>"2017,2018"</formula1>
    </dataValidation>
    <dataValidation type="decimal" operator="greaterThan" allowBlank="1" showInputMessage="1" showErrorMessage="1" sqref="M4:M84">
      <formula1>0</formula1>
    </dataValidation>
  </dataValidations>
  <pageMargins left="0.7" right="0.7" top="0.75" bottom="0.75" header="0.3" footer="0.3"/>
  <pageSetup paperSize="9" scale="39" orientation="portrait" horizontalDpi="300" verticalDpi="300"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AG85"/>
  <sheetViews>
    <sheetView showGridLines="0" workbookViewId="0"/>
  </sheetViews>
  <sheetFormatPr defaultColWidth="9.140625" defaultRowHeight="15" x14ac:dyDescent="0.25"/>
  <cols>
    <col min="1" max="1" width="2.140625" style="1" customWidth="1"/>
    <col min="2" max="2" width="10.140625" style="1" bestFit="1" customWidth="1"/>
    <col min="3" max="3" width="9.140625" style="1"/>
    <col min="4" max="8" width="10.140625" style="1" bestFit="1" customWidth="1"/>
    <col min="9" max="9" width="9.140625" style="1"/>
    <col min="10" max="10" width="68.85546875" style="1" customWidth="1"/>
    <col min="11" max="11" width="9.140625" style="1"/>
    <col min="12" max="12" width="10.140625" style="1" customWidth="1"/>
    <col min="13" max="13" width="9.140625" style="1"/>
    <col min="14" max="14" width="9.140625" style="1" hidden="1" customWidth="1"/>
    <col min="15" max="19" width="9.140625" style="1"/>
    <col min="20" max="20" width="9.140625" style="1" hidden="1" customWidth="1"/>
    <col min="21" max="26" width="10.140625" style="1" hidden="1" customWidth="1"/>
    <col min="27" max="28" width="9.140625" style="1" customWidth="1"/>
    <col min="29" max="29" width="10.140625" style="1" customWidth="1"/>
    <col min="30" max="33" width="9.140625" style="1" customWidth="1"/>
    <col min="34" max="16384" width="9.140625" style="1"/>
  </cols>
  <sheetData>
    <row r="1" spans="2:33" ht="9.75" customHeight="1" x14ac:dyDescent="0.25"/>
    <row r="2" spans="2:33" ht="26.25" customHeight="1" x14ac:dyDescent="0.25">
      <c r="B2" s="414" t="s">
        <v>147</v>
      </c>
      <c r="C2" s="415"/>
      <c r="D2" s="415"/>
      <c r="E2" s="415"/>
      <c r="F2" s="415"/>
      <c r="G2" s="415"/>
      <c r="H2" s="416"/>
      <c r="J2" s="417" t="s">
        <v>145</v>
      </c>
      <c r="K2" s="418"/>
      <c r="L2" s="418"/>
      <c r="M2" s="419"/>
      <c r="N2" s="65"/>
      <c r="U2" s="1" t="s">
        <v>295</v>
      </c>
      <c r="AB2" s="1" t="s">
        <v>296</v>
      </c>
    </row>
    <row r="3" spans="2:33" x14ac:dyDescent="0.25">
      <c r="B3" s="34" t="s">
        <v>144</v>
      </c>
      <c r="C3" s="35">
        <v>2017</v>
      </c>
      <c r="D3" s="35">
        <v>2018</v>
      </c>
      <c r="E3" s="35">
        <v>2019</v>
      </c>
      <c r="F3" s="35">
        <v>2020</v>
      </c>
      <c r="G3" s="35">
        <v>2021</v>
      </c>
      <c r="H3" s="55">
        <v>2022</v>
      </c>
      <c r="L3" s="34" t="s">
        <v>144</v>
      </c>
      <c r="M3" s="64">
        <f>K4</f>
        <v>0</v>
      </c>
      <c r="N3" s="66" t="s">
        <v>298</v>
      </c>
      <c r="U3" s="1">
        <v>2017</v>
      </c>
      <c r="V3" s="1">
        <v>2018</v>
      </c>
      <c r="W3" s="1">
        <v>2019</v>
      </c>
      <c r="X3" s="1">
        <v>2020</v>
      </c>
      <c r="Y3" s="1">
        <v>2021</v>
      </c>
      <c r="Z3" s="1">
        <v>2022</v>
      </c>
      <c r="AC3" s="1" t="s">
        <v>0</v>
      </c>
      <c r="AD3" s="1" t="s">
        <v>1</v>
      </c>
      <c r="AE3" s="1" t="s">
        <v>2</v>
      </c>
      <c r="AF3" s="1" t="s">
        <v>3</v>
      </c>
      <c r="AG3" s="1" t="s">
        <v>4</v>
      </c>
    </row>
    <row r="4" spans="2:33" x14ac:dyDescent="0.25">
      <c r="B4" s="20">
        <v>10</v>
      </c>
      <c r="C4" s="56">
        <v>75000</v>
      </c>
      <c r="D4" s="57">
        <f>C4*(1+'Rhaniad y Ddeiliadaeth (C&amp;De-o)'!C$118)</f>
        <v>77130.418896982083</v>
      </c>
      <c r="E4" s="57">
        <f>D4*(1+'Rhaniad y Ddeiliadaeth (C&amp;De-o)'!D$118)</f>
        <v>77302.153996939</v>
      </c>
      <c r="F4" s="57">
        <f>E4*(1+'Rhaniad y Ddeiliadaeth (C&amp;De-o)'!E$118)</f>
        <v>78966.034936588287</v>
      </c>
      <c r="G4" s="57">
        <f>F4*(1+'Rhaniad y Ddeiliadaeth (C&amp;De-o)'!F$118)</f>
        <v>82045.644640520419</v>
      </c>
      <c r="H4" s="57">
        <f>G4*(1+'Rhaniad y Ddeiliadaeth (C&amp;De-o)'!G$118)</f>
        <v>85448.891736731457</v>
      </c>
      <c r="I4" s="4"/>
      <c r="J4" s="67" t="str">
        <f>IF('Rhaniad y Ddeiliadaeth (Cymru)'!D18="Arall","Choose what year of data you would like to enter:","")</f>
        <v/>
      </c>
      <c r="K4" s="238"/>
      <c r="L4" s="62" t="str">
        <f t="shared" ref="L4:L67" si="0">IF(ISBLANK($K$4),"",B4)</f>
        <v/>
      </c>
      <c r="M4" s="239"/>
      <c r="N4" s="14">
        <f>IF(ISBLANK(M4),1,0)</f>
        <v>1</v>
      </c>
      <c r="O4" s="11" t="str">
        <f>IF(J4="","",IF(N85=1,"&lt;&lt; Ychwanegwch ddata pob canradd fan hyn.",""))</f>
        <v/>
      </c>
      <c r="T4" s="1">
        <f t="shared" ref="T4:T67" si="1">B4</f>
        <v>10</v>
      </c>
      <c r="U4" s="4" t="str">
        <f t="shared" ref="U4:U67" si="2">IF($M$3=$U$3,M4,"")</f>
        <v/>
      </c>
      <c r="V4" s="4" t="e">
        <f>IF($V$3=$M$3,M4,U4*(1+'Rhaniad y Ddeiliadaeth (Cymru)'!C$118))</f>
        <v>#VALUE!</v>
      </c>
      <c r="W4" s="4" t="e">
        <f>V4*(1+'Rhaniad y Ddeiliadaeth (Cymru)'!D$118)</f>
        <v>#VALUE!</v>
      </c>
      <c r="X4" s="4" t="e">
        <f>W4*(1+'Rhaniad y Ddeiliadaeth (Cymru)'!E$118)</f>
        <v>#VALUE!</v>
      </c>
      <c r="Y4" s="4" t="e">
        <f>X4*(1+'Rhaniad y Ddeiliadaeth (Cymru)'!F$118)</f>
        <v>#VALUE!</v>
      </c>
      <c r="Z4" s="4" t="e">
        <f>Y4*(1+'Rhaniad y Ddeiliadaeth (Cymru)'!G$118)</f>
        <v>#VALUE!</v>
      </c>
      <c r="AB4" s="1">
        <v>10</v>
      </c>
      <c r="AC4" s="4">
        <f>IF('Rhaniad y Ddeiliadaeth (Cymru)'!$D$18="Data Cofrestrfa Tir",'Prisiau Tai (Canol. &amp; De-orll)'!D4,'Prisiau Tai (Canol. &amp; De-orll)'!V4)</f>
        <v>77130.418896982083</v>
      </c>
      <c r="AD4" s="4">
        <f>IF('Rhaniad y Ddeiliadaeth (Cymru)'!$D$18="Data Cofrestrfa Tir",'Prisiau Tai (Canol. &amp; De-orll)'!E4,'Prisiau Tai (Canol. &amp; De-orll)'!W4)</f>
        <v>77302.153996939</v>
      </c>
      <c r="AE4" s="4">
        <f>IF('Rhaniad y Ddeiliadaeth (Cymru)'!$D$18="Data Cofrestrfa Tir",'Prisiau Tai (Canol. &amp; De-orll)'!F4,'Prisiau Tai (Canol. &amp; De-orll)'!X4)</f>
        <v>78966.034936588287</v>
      </c>
      <c r="AF4" s="4">
        <f>IF('Rhaniad y Ddeiliadaeth (Cymru)'!$D$18="Data Cofrestrfa Tir",'Prisiau Tai (Canol. &amp; De-orll)'!G4,'Prisiau Tai (Canol. &amp; De-orll)'!Y4)</f>
        <v>82045.644640520419</v>
      </c>
      <c r="AG4" s="4">
        <f>IF('Rhaniad y Ddeiliadaeth (Cymru)'!$D$18="Data Cofrestrfa Tir",'Prisiau Tai (Canol. &amp; De-orll)'!H4,'Prisiau Tai (Canol. &amp; De-orll)'!Z4)</f>
        <v>85448.891736731457</v>
      </c>
    </row>
    <row r="5" spans="2:33" x14ac:dyDescent="0.25">
      <c r="B5" s="20">
        <v>11</v>
      </c>
      <c r="C5" s="56">
        <v>78000</v>
      </c>
      <c r="D5" s="57">
        <f>C5*(1+'Rhaniad y Ddeiliadaeth (C&amp;De-o)'!C$118)</f>
        <v>80215.635652861369</v>
      </c>
      <c r="E5" s="57">
        <f>D5*(1+'Rhaniad y Ddeiliadaeth (C&amp;De-o)'!D$118)</f>
        <v>80394.240156816566</v>
      </c>
      <c r="F5" s="57">
        <f>E5*(1+'Rhaniad y Ddeiliadaeth (C&amp;De-o)'!E$118)</f>
        <v>82124.676334051823</v>
      </c>
      <c r="G5" s="57">
        <f>F5*(1+'Rhaniad y Ddeiliadaeth (C&amp;De-o)'!F$118)</f>
        <v>85327.470426141241</v>
      </c>
      <c r="H5" s="57">
        <f>G5*(1+'Rhaniad y Ddeiliadaeth (C&amp;De-o)'!G$118)</f>
        <v>88866.84740620073</v>
      </c>
      <c r="J5" s="68" t="str">
        <f>IF(J4="","","Dim ond data ar gyfer un flwyddyn sydd angen i chi ychwanegu (unai 2017 neu 2018)")</f>
        <v/>
      </c>
      <c r="L5" s="62" t="str">
        <f t="shared" si="0"/>
        <v/>
      </c>
      <c r="M5" s="239"/>
      <c r="N5" s="14">
        <f t="shared" ref="N5:N68" si="3">IF(ISBLANK(M5),1,0)</f>
        <v>1</v>
      </c>
      <c r="T5" s="1">
        <f t="shared" si="1"/>
        <v>11</v>
      </c>
      <c r="U5" s="4" t="str">
        <f t="shared" si="2"/>
        <v/>
      </c>
      <c r="V5" s="4" t="e">
        <f>IF($V$3=$M$3,M5,U5*(1+'Rhaniad y Ddeiliadaeth (Cymru)'!C$118))</f>
        <v>#VALUE!</v>
      </c>
      <c r="W5" s="4" t="e">
        <f>V5*(1+'Rhaniad y Ddeiliadaeth (Cymru)'!D$118)</f>
        <v>#VALUE!</v>
      </c>
      <c r="X5" s="4" t="e">
        <f>W5*(1+'Rhaniad y Ddeiliadaeth (Cymru)'!E$118)</f>
        <v>#VALUE!</v>
      </c>
      <c r="Y5" s="4" t="e">
        <f>X5*(1+'Rhaniad y Ddeiliadaeth (Cymru)'!F$118)</f>
        <v>#VALUE!</v>
      </c>
      <c r="Z5" s="4" t="e">
        <f>Y5*(1+'Rhaniad y Ddeiliadaeth (Cymru)'!G$118)</f>
        <v>#VALUE!</v>
      </c>
      <c r="AB5" s="1">
        <v>11</v>
      </c>
      <c r="AC5" s="4">
        <f>IF('Rhaniad y Ddeiliadaeth (Cymru)'!$D$18="Data Cofrestrfa Tir",'Prisiau Tai (Canol. &amp; De-orll)'!D5,'Prisiau Tai (Canol. &amp; De-orll)'!V5)</f>
        <v>80215.635652861369</v>
      </c>
      <c r="AD5" s="4">
        <f>IF('Rhaniad y Ddeiliadaeth (Cymru)'!$D$18="Data Cofrestrfa Tir",'Prisiau Tai (Canol. &amp; De-orll)'!E5,'Prisiau Tai (Canol. &amp; De-orll)'!W5)</f>
        <v>80394.240156816566</v>
      </c>
      <c r="AE5" s="4">
        <f>IF('Rhaniad y Ddeiliadaeth (Cymru)'!$D$18="Data Cofrestrfa Tir",'Prisiau Tai (Canol. &amp; De-orll)'!F5,'Prisiau Tai (Canol. &amp; De-orll)'!X5)</f>
        <v>82124.676334051823</v>
      </c>
      <c r="AF5" s="4">
        <f>IF('Rhaniad y Ddeiliadaeth (Cymru)'!$D$18="Data Cofrestrfa Tir",'Prisiau Tai (Canol. &amp; De-orll)'!G5,'Prisiau Tai (Canol. &amp; De-orll)'!Y5)</f>
        <v>85327.470426141241</v>
      </c>
      <c r="AG5" s="4">
        <f>IF('Rhaniad y Ddeiliadaeth (Cymru)'!$D$18="Data Cofrestrfa Tir",'Prisiau Tai (Canol. &amp; De-orll)'!H5,'Prisiau Tai (Canol. &amp; De-orll)'!Z5)</f>
        <v>88866.84740620073</v>
      </c>
    </row>
    <row r="6" spans="2:33" x14ac:dyDescent="0.25">
      <c r="B6" s="20">
        <v>12</v>
      </c>
      <c r="C6" s="56">
        <v>80000</v>
      </c>
      <c r="D6" s="57">
        <f>C6*(1+'Rhaniad y Ddeiliadaeth (C&amp;De-o)'!C$118)</f>
        <v>82272.44682344755</v>
      </c>
      <c r="E6" s="57">
        <f>D6*(1+'Rhaniad y Ddeiliadaeth (C&amp;De-o)'!D$118)</f>
        <v>82455.630930068262</v>
      </c>
      <c r="F6" s="57">
        <f>E6*(1+'Rhaniad y Ddeiliadaeth (C&amp;De-o)'!E$118)</f>
        <v>84230.437265694156</v>
      </c>
      <c r="G6" s="57">
        <f>F6*(1+'Rhaniad y Ddeiliadaeth (C&amp;De-o)'!F$118)</f>
        <v>87515.354283221764</v>
      </c>
      <c r="H6" s="57">
        <f>G6*(1+'Rhaniad y Ddeiliadaeth (C&amp;De-o)'!G$118)</f>
        <v>91145.484519180216</v>
      </c>
      <c r="L6" s="62" t="str">
        <f t="shared" si="0"/>
        <v/>
      </c>
      <c r="M6" s="239"/>
      <c r="N6" s="14">
        <f t="shared" si="3"/>
        <v>1</v>
      </c>
      <c r="T6" s="1">
        <f t="shared" si="1"/>
        <v>12</v>
      </c>
      <c r="U6" s="4" t="str">
        <f t="shared" si="2"/>
        <v/>
      </c>
      <c r="V6" s="4" t="e">
        <f>IF($V$3=$M$3,M6,U6*(1+'Rhaniad y Ddeiliadaeth (Cymru)'!C$118))</f>
        <v>#VALUE!</v>
      </c>
      <c r="W6" s="4" t="e">
        <f>V6*(1+'Rhaniad y Ddeiliadaeth (Cymru)'!D$118)</f>
        <v>#VALUE!</v>
      </c>
      <c r="X6" s="4" t="e">
        <f>W6*(1+'Rhaniad y Ddeiliadaeth (Cymru)'!E$118)</f>
        <v>#VALUE!</v>
      </c>
      <c r="Y6" s="4" t="e">
        <f>X6*(1+'Rhaniad y Ddeiliadaeth (Cymru)'!F$118)</f>
        <v>#VALUE!</v>
      </c>
      <c r="Z6" s="4" t="e">
        <f>Y6*(1+'Rhaniad y Ddeiliadaeth (Cymru)'!G$118)</f>
        <v>#VALUE!</v>
      </c>
      <c r="AB6" s="1">
        <v>12</v>
      </c>
      <c r="AC6" s="4">
        <f>IF('Rhaniad y Ddeiliadaeth (Cymru)'!$D$18="Data Cofrestrfa Tir",'Prisiau Tai (Canol. &amp; De-orll)'!D6,'Prisiau Tai (Canol. &amp; De-orll)'!V6)</f>
        <v>82272.44682344755</v>
      </c>
      <c r="AD6" s="4">
        <f>IF('Rhaniad y Ddeiliadaeth (Cymru)'!$D$18="Data Cofrestrfa Tir",'Prisiau Tai (Canol. &amp; De-orll)'!E6,'Prisiau Tai (Canol. &amp; De-orll)'!W6)</f>
        <v>82455.630930068262</v>
      </c>
      <c r="AE6" s="4">
        <f>IF('Rhaniad y Ddeiliadaeth (Cymru)'!$D$18="Data Cofrestrfa Tir",'Prisiau Tai (Canol. &amp; De-orll)'!F6,'Prisiau Tai (Canol. &amp; De-orll)'!X6)</f>
        <v>84230.437265694156</v>
      </c>
      <c r="AF6" s="4">
        <f>IF('Rhaniad y Ddeiliadaeth (Cymru)'!$D$18="Data Cofrestrfa Tir",'Prisiau Tai (Canol. &amp; De-orll)'!G6,'Prisiau Tai (Canol. &amp; De-orll)'!Y6)</f>
        <v>87515.354283221764</v>
      </c>
      <c r="AG6" s="4">
        <f>IF('Rhaniad y Ddeiliadaeth (Cymru)'!$D$18="Data Cofrestrfa Tir",'Prisiau Tai (Canol. &amp; De-orll)'!H6,'Prisiau Tai (Canol. &amp; De-orll)'!Z6)</f>
        <v>91145.484519180216</v>
      </c>
    </row>
    <row r="7" spans="2:33" x14ac:dyDescent="0.25">
      <c r="B7" s="20">
        <v>13</v>
      </c>
      <c r="C7" s="56">
        <v>81109.649999999994</v>
      </c>
      <c r="D7" s="57">
        <f>C7*(1+'Rhaniad y Ddeiliadaeth (C&amp;De-o)'!C$118)</f>
        <v>83413.617081168035</v>
      </c>
      <c r="E7" s="57">
        <f>D7*(1+'Rhaniad y Ddeiliadaeth (C&amp;De-o)'!D$118)</f>
        <v>83599.342065837642</v>
      </c>
      <c r="F7" s="57">
        <f>E7*(1+'Rhaniad y Ddeiliadaeth (C&amp;De-o)'!E$118)</f>
        <v>85398.766074592626</v>
      </c>
      <c r="G7" s="57">
        <f>F7*(1+'Rhaniad y Ddeiliadaeth (C&amp;De-o)'!F$118)</f>
        <v>88729.24694422647</v>
      </c>
      <c r="H7" s="57">
        <f>G7*(1+'Rhaniad y Ddeiliadaeth (C&amp;De-o)'!G$118)</f>
        <v>92409.729355389063</v>
      </c>
      <c r="J7" s="11" t="str">
        <f>IF(J4="","",IF(N85=1,"Mewnbwn y defnyddiwr yn anghyflawn",IF(N85=0,"Mewnbwn y defnyddiwr yn gyflawn","")))</f>
        <v/>
      </c>
      <c r="L7" s="62" t="str">
        <f t="shared" si="0"/>
        <v/>
      </c>
      <c r="M7" s="239"/>
      <c r="N7" s="14">
        <f t="shared" si="3"/>
        <v>1</v>
      </c>
      <c r="T7" s="1">
        <f t="shared" si="1"/>
        <v>13</v>
      </c>
      <c r="U7" s="4" t="str">
        <f t="shared" si="2"/>
        <v/>
      </c>
      <c r="V7" s="4" t="e">
        <f>IF($V$3=$M$3,M7,U7*(1+'Rhaniad y Ddeiliadaeth (Cymru)'!C$118))</f>
        <v>#VALUE!</v>
      </c>
      <c r="W7" s="4" t="e">
        <f>V7*(1+'Rhaniad y Ddeiliadaeth (Cymru)'!D$118)</f>
        <v>#VALUE!</v>
      </c>
      <c r="X7" s="4" t="e">
        <f>W7*(1+'Rhaniad y Ddeiliadaeth (Cymru)'!E$118)</f>
        <v>#VALUE!</v>
      </c>
      <c r="Y7" s="4" t="e">
        <f>X7*(1+'Rhaniad y Ddeiliadaeth (Cymru)'!F$118)</f>
        <v>#VALUE!</v>
      </c>
      <c r="Z7" s="4" t="e">
        <f>Y7*(1+'Rhaniad y Ddeiliadaeth (Cymru)'!G$118)</f>
        <v>#VALUE!</v>
      </c>
      <c r="AB7" s="1">
        <v>13</v>
      </c>
      <c r="AC7" s="4">
        <f>IF('Rhaniad y Ddeiliadaeth (Cymru)'!$D$18="Data Cofrestrfa Tir",'Prisiau Tai (Canol. &amp; De-orll)'!D7,'Prisiau Tai (Canol. &amp; De-orll)'!V7)</f>
        <v>83413.617081168035</v>
      </c>
      <c r="AD7" s="4">
        <f>IF('Rhaniad y Ddeiliadaeth (Cymru)'!$D$18="Data Cofrestrfa Tir",'Prisiau Tai (Canol. &amp; De-orll)'!E7,'Prisiau Tai (Canol. &amp; De-orll)'!W7)</f>
        <v>83599.342065837642</v>
      </c>
      <c r="AE7" s="4">
        <f>IF('Rhaniad y Ddeiliadaeth (Cymru)'!$D$18="Data Cofrestrfa Tir",'Prisiau Tai (Canol. &amp; De-orll)'!F7,'Prisiau Tai (Canol. &amp; De-orll)'!X7)</f>
        <v>85398.766074592626</v>
      </c>
      <c r="AF7" s="4">
        <f>IF('Rhaniad y Ddeiliadaeth (Cymru)'!$D$18="Data Cofrestrfa Tir",'Prisiau Tai (Canol. &amp; De-orll)'!G7,'Prisiau Tai (Canol. &amp; De-orll)'!Y7)</f>
        <v>88729.24694422647</v>
      </c>
      <c r="AG7" s="4">
        <f>IF('Rhaniad y Ddeiliadaeth (Cymru)'!$D$18="Data Cofrestrfa Tir",'Prisiau Tai (Canol. &amp; De-orll)'!H7,'Prisiau Tai (Canol. &amp; De-orll)'!Z7)</f>
        <v>92409.729355389063</v>
      </c>
    </row>
    <row r="8" spans="2:33" x14ac:dyDescent="0.25">
      <c r="B8" s="20">
        <v>14</v>
      </c>
      <c r="C8" s="56">
        <v>83000</v>
      </c>
      <c r="D8" s="57">
        <f>C8*(1+'Rhaniad y Ddeiliadaeth (C&amp;De-o)'!C$118)</f>
        <v>85357.663579326836</v>
      </c>
      <c r="E8" s="57">
        <f>D8*(1+'Rhaniad y Ddeiliadaeth (C&amp;De-o)'!D$118)</f>
        <v>85547.717089945829</v>
      </c>
      <c r="F8" s="57">
        <f>E8*(1+'Rhaniad y Ddeiliadaeth (C&amp;De-o)'!E$118)</f>
        <v>87389.078663157707</v>
      </c>
      <c r="G8" s="57">
        <f>F8*(1+'Rhaniad y Ddeiliadaeth (C&amp;De-o)'!F$118)</f>
        <v>90797.180068842601</v>
      </c>
      <c r="H8" s="57">
        <f>G8*(1+'Rhaniad y Ddeiliadaeth (C&amp;De-o)'!G$118)</f>
        <v>94563.440188649489</v>
      </c>
      <c r="L8" s="62" t="str">
        <f t="shared" si="0"/>
        <v/>
      </c>
      <c r="M8" s="239"/>
      <c r="N8" s="14">
        <f t="shared" si="3"/>
        <v>1</v>
      </c>
      <c r="T8" s="1">
        <f t="shared" si="1"/>
        <v>14</v>
      </c>
      <c r="U8" s="4" t="str">
        <f t="shared" si="2"/>
        <v/>
      </c>
      <c r="V8" s="4" t="e">
        <f>IF($V$3=$M$3,M8,U8*(1+'Rhaniad y Ddeiliadaeth (Cymru)'!C$118))</f>
        <v>#VALUE!</v>
      </c>
      <c r="W8" s="4" t="e">
        <f>V8*(1+'Rhaniad y Ddeiliadaeth (Cymru)'!D$118)</f>
        <v>#VALUE!</v>
      </c>
      <c r="X8" s="4" t="e">
        <f>W8*(1+'Rhaniad y Ddeiliadaeth (Cymru)'!E$118)</f>
        <v>#VALUE!</v>
      </c>
      <c r="Y8" s="4" t="e">
        <f>X8*(1+'Rhaniad y Ddeiliadaeth (Cymru)'!F$118)</f>
        <v>#VALUE!</v>
      </c>
      <c r="Z8" s="4" t="e">
        <f>Y8*(1+'Rhaniad y Ddeiliadaeth (Cymru)'!G$118)</f>
        <v>#VALUE!</v>
      </c>
      <c r="AB8" s="1">
        <v>14</v>
      </c>
      <c r="AC8" s="4">
        <f>IF('Rhaniad y Ddeiliadaeth (Cymru)'!$D$18="Data Cofrestrfa Tir",'Prisiau Tai (Canol. &amp; De-orll)'!D8,'Prisiau Tai (Canol. &amp; De-orll)'!V8)</f>
        <v>85357.663579326836</v>
      </c>
      <c r="AD8" s="4">
        <f>IF('Rhaniad y Ddeiliadaeth (Cymru)'!$D$18="Data Cofrestrfa Tir",'Prisiau Tai (Canol. &amp; De-orll)'!E8,'Prisiau Tai (Canol. &amp; De-orll)'!W8)</f>
        <v>85547.717089945829</v>
      </c>
      <c r="AE8" s="4">
        <f>IF('Rhaniad y Ddeiliadaeth (Cymru)'!$D$18="Data Cofrestrfa Tir",'Prisiau Tai (Canol. &amp; De-orll)'!F8,'Prisiau Tai (Canol. &amp; De-orll)'!X8)</f>
        <v>87389.078663157707</v>
      </c>
      <c r="AF8" s="4">
        <f>IF('Rhaniad y Ddeiliadaeth (Cymru)'!$D$18="Data Cofrestrfa Tir",'Prisiau Tai (Canol. &amp; De-orll)'!G8,'Prisiau Tai (Canol. &amp; De-orll)'!Y8)</f>
        <v>90797.180068842601</v>
      </c>
      <c r="AG8" s="4">
        <f>IF('Rhaniad y Ddeiliadaeth (Cymru)'!$D$18="Data Cofrestrfa Tir",'Prisiau Tai (Canol. &amp; De-orll)'!H8,'Prisiau Tai (Canol. &amp; De-orll)'!Z8)</f>
        <v>94563.440188649489</v>
      </c>
    </row>
    <row r="9" spans="2:33" x14ac:dyDescent="0.25">
      <c r="B9" s="20">
        <v>15</v>
      </c>
      <c r="C9" s="56">
        <v>85000</v>
      </c>
      <c r="D9" s="57">
        <f>C9*(1+'Rhaniad y Ddeiliadaeth (C&amp;De-o)'!C$118)</f>
        <v>87414.474749913032</v>
      </c>
      <c r="E9" s="57">
        <f>D9*(1+'Rhaniad y Ddeiliadaeth (C&amp;De-o)'!D$118)</f>
        <v>87609.10786319754</v>
      </c>
      <c r="F9" s="57">
        <f>E9*(1+'Rhaniad y Ddeiliadaeth (C&amp;De-o)'!E$118)</f>
        <v>89494.839594800054</v>
      </c>
      <c r="G9" s="57">
        <f>F9*(1+'Rhaniad y Ddeiliadaeth (C&amp;De-o)'!F$118)</f>
        <v>92985.063925923139</v>
      </c>
      <c r="H9" s="57">
        <f>G9*(1+'Rhaniad y Ddeiliadaeth (C&amp;De-o)'!G$118)</f>
        <v>96842.07730162899</v>
      </c>
      <c r="J9" s="420" t="str">
        <f>IF(J4="","Os hoffech ddefnyddio data eich hunain ar gyfer dosbarthiad prisiau tai, newidwch eich dewislen.","")</f>
        <v>Os hoffech ddefnyddio data eich hunain ar gyfer dosbarthiad prisiau tai, newidwch eich dewislen.</v>
      </c>
      <c r="L9" s="62" t="str">
        <f t="shared" si="0"/>
        <v/>
      </c>
      <c r="M9" s="239"/>
      <c r="N9" s="14">
        <f t="shared" si="3"/>
        <v>1</v>
      </c>
      <c r="T9" s="1">
        <f t="shared" si="1"/>
        <v>15</v>
      </c>
      <c r="U9" s="4" t="str">
        <f t="shared" si="2"/>
        <v/>
      </c>
      <c r="V9" s="4" t="e">
        <f>IF($V$3=$M$3,M9,U9*(1+'Rhaniad y Ddeiliadaeth (Cymru)'!C$118))</f>
        <v>#VALUE!</v>
      </c>
      <c r="W9" s="4" t="e">
        <f>V9*(1+'Rhaniad y Ddeiliadaeth (Cymru)'!D$118)</f>
        <v>#VALUE!</v>
      </c>
      <c r="X9" s="4" t="e">
        <f>W9*(1+'Rhaniad y Ddeiliadaeth (Cymru)'!E$118)</f>
        <v>#VALUE!</v>
      </c>
      <c r="Y9" s="4" t="e">
        <f>X9*(1+'Rhaniad y Ddeiliadaeth (Cymru)'!F$118)</f>
        <v>#VALUE!</v>
      </c>
      <c r="Z9" s="4" t="e">
        <f>Y9*(1+'Rhaniad y Ddeiliadaeth (Cymru)'!G$118)</f>
        <v>#VALUE!</v>
      </c>
      <c r="AB9" s="1">
        <v>15</v>
      </c>
      <c r="AC9" s="4">
        <f>IF('Rhaniad y Ddeiliadaeth (Cymru)'!$D$18="Data Cofrestrfa Tir",'Prisiau Tai (Canol. &amp; De-orll)'!D9,'Prisiau Tai (Canol. &amp; De-orll)'!V9)</f>
        <v>87414.474749913032</v>
      </c>
      <c r="AD9" s="4">
        <f>IF('Rhaniad y Ddeiliadaeth (Cymru)'!$D$18="Data Cofrestrfa Tir",'Prisiau Tai (Canol. &amp; De-orll)'!E9,'Prisiau Tai (Canol. &amp; De-orll)'!W9)</f>
        <v>87609.10786319754</v>
      </c>
      <c r="AE9" s="4">
        <f>IF('Rhaniad y Ddeiliadaeth (Cymru)'!$D$18="Data Cofrestrfa Tir",'Prisiau Tai (Canol. &amp; De-orll)'!F9,'Prisiau Tai (Canol. &amp; De-orll)'!X9)</f>
        <v>89494.839594800054</v>
      </c>
      <c r="AF9" s="4">
        <f>IF('Rhaniad y Ddeiliadaeth (Cymru)'!$D$18="Data Cofrestrfa Tir",'Prisiau Tai (Canol. &amp; De-orll)'!G9,'Prisiau Tai (Canol. &amp; De-orll)'!Y9)</f>
        <v>92985.063925923139</v>
      </c>
      <c r="AG9" s="4">
        <f>IF('Rhaniad y Ddeiliadaeth (Cymru)'!$D$18="Data Cofrestrfa Tir",'Prisiau Tai (Canol. &amp; De-orll)'!H9,'Prisiau Tai (Canol. &amp; De-orll)'!Z9)</f>
        <v>96842.07730162899</v>
      </c>
    </row>
    <row r="10" spans="2:33" x14ac:dyDescent="0.25">
      <c r="B10" s="20">
        <v>16</v>
      </c>
      <c r="C10" s="56">
        <v>86000</v>
      </c>
      <c r="D10" s="57">
        <f>C10*(1+'Rhaniad y Ddeiliadaeth (C&amp;De-o)'!C$118)</f>
        <v>88442.880335206122</v>
      </c>
      <c r="E10" s="57">
        <f>D10*(1+'Rhaniad y Ddeiliadaeth (C&amp;De-o)'!D$118)</f>
        <v>88639.803249823395</v>
      </c>
      <c r="F10" s="57">
        <f>E10*(1+'Rhaniad y Ddeiliadaeth (C&amp;De-o)'!E$118)</f>
        <v>90547.720060621243</v>
      </c>
      <c r="G10" s="57">
        <f>F10*(1+'Rhaniad y Ddeiliadaeth (C&amp;De-o)'!F$118)</f>
        <v>94079.005854463423</v>
      </c>
      <c r="H10" s="57">
        <f>G10*(1+'Rhaniad y Ddeiliadaeth (C&amp;De-o)'!G$118)</f>
        <v>97981.395858118747</v>
      </c>
      <c r="J10" s="420"/>
      <c r="L10" s="62" t="str">
        <f t="shared" si="0"/>
        <v/>
      </c>
      <c r="M10" s="239"/>
      <c r="N10" s="14">
        <f t="shared" si="3"/>
        <v>1</v>
      </c>
      <c r="T10" s="1">
        <f t="shared" si="1"/>
        <v>16</v>
      </c>
      <c r="U10" s="4" t="str">
        <f t="shared" si="2"/>
        <v/>
      </c>
      <c r="V10" s="4" t="e">
        <f>IF($V$3=$M$3,M10,U10*(1+'Rhaniad y Ddeiliadaeth (Cymru)'!C$118))</f>
        <v>#VALUE!</v>
      </c>
      <c r="W10" s="4" t="e">
        <f>V10*(1+'Rhaniad y Ddeiliadaeth (Cymru)'!D$118)</f>
        <v>#VALUE!</v>
      </c>
      <c r="X10" s="4" t="e">
        <f>W10*(1+'Rhaniad y Ddeiliadaeth (Cymru)'!E$118)</f>
        <v>#VALUE!</v>
      </c>
      <c r="Y10" s="4" t="e">
        <f>X10*(1+'Rhaniad y Ddeiliadaeth (Cymru)'!F$118)</f>
        <v>#VALUE!</v>
      </c>
      <c r="Z10" s="4" t="e">
        <f>Y10*(1+'Rhaniad y Ddeiliadaeth (Cymru)'!G$118)</f>
        <v>#VALUE!</v>
      </c>
      <c r="AB10" s="1">
        <v>16</v>
      </c>
      <c r="AC10" s="4">
        <f>IF('Rhaniad y Ddeiliadaeth (Cymru)'!$D$18="Data Cofrestrfa Tir",'Prisiau Tai (Canol. &amp; De-orll)'!D10,'Prisiau Tai (Canol. &amp; De-orll)'!V10)</f>
        <v>88442.880335206122</v>
      </c>
      <c r="AD10" s="4">
        <f>IF('Rhaniad y Ddeiliadaeth (Cymru)'!$D$18="Data Cofrestrfa Tir",'Prisiau Tai (Canol. &amp; De-orll)'!E10,'Prisiau Tai (Canol. &amp; De-orll)'!W10)</f>
        <v>88639.803249823395</v>
      </c>
      <c r="AE10" s="4">
        <f>IF('Rhaniad y Ddeiliadaeth (Cymru)'!$D$18="Data Cofrestrfa Tir",'Prisiau Tai (Canol. &amp; De-orll)'!F10,'Prisiau Tai (Canol. &amp; De-orll)'!X10)</f>
        <v>90547.720060621243</v>
      </c>
      <c r="AF10" s="4">
        <f>IF('Rhaniad y Ddeiliadaeth (Cymru)'!$D$18="Data Cofrestrfa Tir",'Prisiau Tai (Canol. &amp; De-orll)'!G10,'Prisiau Tai (Canol. &amp; De-orll)'!Y10)</f>
        <v>94079.005854463423</v>
      </c>
      <c r="AG10" s="4">
        <f>IF('Rhaniad y Ddeiliadaeth (Cymru)'!$D$18="Data Cofrestrfa Tir",'Prisiau Tai (Canol. &amp; De-orll)'!H10,'Prisiau Tai (Canol. &amp; De-orll)'!Z10)</f>
        <v>97981.395858118747</v>
      </c>
    </row>
    <row r="11" spans="2:33" x14ac:dyDescent="0.25">
      <c r="B11" s="20">
        <v>17</v>
      </c>
      <c r="C11" s="56">
        <v>89000</v>
      </c>
      <c r="D11" s="57">
        <f>C11*(1+'Rhaniad y Ddeiliadaeth (C&amp;De-o)'!C$118)</f>
        <v>91528.097091085408</v>
      </c>
      <c r="E11" s="57">
        <f>D11*(1+'Rhaniad y Ddeiliadaeth (C&amp;De-o)'!D$118)</f>
        <v>91731.889409700962</v>
      </c>
      <c r="F11" s="57">
        <f>E11*(1+'Rhaniad y Ddeiliadaeth (C&amp;De-o)'!E$118)</f>
        <v>93706.361458084779</v>
      </c>
      <c r="G11" s="57">
        <f>F11*(1+'Rhaniad y Ddeiliadaeth (C&amp;De-o)'!F$118)</f>
        <v>97360.831640084245</v>
      </c>
      <c r="H11" s="57">
        <f>G11*(1+'Rhaniad y Ddeiliadaeth (C&amp;De-o)'!G$118)</f>
        <v>101399.35152758802</v>
      </c>
      <c r="L11" s="62" t="str">
        <f t="shared" si="0"/>
        <v/>
      </c>
      <c r="M11" s="239"/>
      <c r="N11" s="14">
        <f t="shared" si="3"/>
        <v>1</v>
      </c>
      <c r="T11" s="1">
        <f t="shared" si="1"/>
        <v>17</v>
      </c>
      <c r="U11" s="4" t="str">
        <f t="shared" si="2"/>
        <v/>
      </c>
      <c r="V11" s="4" t="e">
        <f>IF($V$3=$M$3,M11,U11*(1+'Rhaniad y Ddeiliadaeth (Cymru)'!C$118))</f>
        <v>#VALUE!</v>
      </c>
      <c r="W11" s="4" t="e">
        <f>V11*(1+'Rhaniad y Ddeiliadaeth (Cymru)'!D$118)</f>
        <v>#VALUE!</v>
      </c>
      <c r="X11" s="4" t="e">
        <f>W11*(1+'Rhaniad y Ddeiliadaeth (Cymru)'!E$118)</f>
        <v>#VALUE!</v>
      </c>
      <c r="Y11" s="4" t="e">
        <f>X11*(1+'Rhaniad y Ddeiliadaeth (Cymru)'!F$118)</f>
        <v>#VALUE!</v>
      </c>
      <c r="Z11" s="4" t="e">
        <f>Y11*(1+'Rhaniad y Ddeiliadaeth (Cymru)'!G$118)</f>
        <v>#VALUE!</v>
      </c>
      <c r="AB11" s="1">
        <v>17</v>
      </c>
      <c r="AC11" s="4">
        <f>IF('Rhaniad y Ddeiliadaeth (Cymru)'!$D$18="Data Cofrestrfa Tir",'Prisiau Tai (Canol. &amp; De-orll)'!D11,'Prisiau Tai (Canol. &amp; De-orll)'!V11)</f>
        <v>91528.097091085408</v>
      </c>
      <c r="AD11" s="4">
        <f>IF('Rhaniad y Ddeiliadaeth (Cymru)'!$D$18="Data Cofrestrfa Tir",'Prisiau Tai (Canol. &amp; De-orll)'!E11,'Prisiau Tai (Canol. &amp; De-orll)'!W11)</f>
        <v>91731.889409700962</v>
      </c>
      <c r="AE11" s="4">
        <f>IF('Rhaniad y Ddeiliadaeth (Cymru)'!$D$18="Data Cofrestrfa Tir",'Prisiau Tai (Canol. &amp; De-orll)'!F11,'Prisiau Tai (Canol. &amp; De-orll)'!X11)</f>
        <v>93706.361458084779</v>
      </c>
      <c r="AF11" s="4">
        <f>IF('Rhaniad y Ddeiliadaeth (Cymru)'!$D$18="Data Cofrestrfa Tir",'Prisiau Tai (Canol. &amp; De-orll)'!G11,'Prisiau Tai (Canol. &amp; De-orll)'!Y11)</f>
        <v>97360.831640084245</v>
      </c>
      <c r="AG11" s="4">
        <f>IF('Rhaniad y Ddeiliadaeth (Cymru)'!$D$18="Data Cofrestrfa Tir",'Prisiau Tai (Canol. &amp; De-orll)'!H11,'Prisiau Tai (Canol. &amp; De-orll)'!Z11)</f>
        <v>101399.35152758802</v>
      </c>
    </row>
    <row r="12" spans="2:33" x14ac:dyDescent="0.25">
      <c r="B12" s="20">
        <v>18</v>
      </c>
      <c r="C12" s="56">
        <v>90000</v>
      </c>
      <c r="D12" s="57">
        <f>C12*(1+'Rhaniad y Ddeiliadaeth (C&amp;De-o)'!C$118)</f>
        <v>92556.502676378499</v>
      </c>
      <c r="E12" s="57">
        <f>D12*(1+'Rhaniad y Ddeiliadaeth (C&amp;De-o)'!D$118)</f>
        <v>92762.584796326802</v>
      </c>
      <c r="F12" s="57">
        <f>E12*(1+'Rhaniad y Ddeiliadaeth (C&amp;De-o)'!E$118)</f>
        <v>94759.241923905938</v>
      </c>
      <c r="G12" s="57">
        <f>F12*(1+'Rhaniad y Ddeiliadaeth (C&amp;De-o)'!F$118)</f>
        <v>98454.773568624485</v>
      </c>
      <c r="H12" s="57">
        <f>G12*(1+'Rhaniad y Ddeiliadaeth (C&amp;De-o)'!G$118)</f>
        <v>102538.67008407773</v>
      </c>
      <c r="L12" s="62" t="str">
        <f t="shared" si="0"/>
        <v/>
      </c>
      <c r="M12" s="239"/>
      <c r="N12" s="14">
        <f t="shared" si="3"/>
        <v>1</v>
      </c>
      <c r="T12" s="1">
        <f t="shared" si="1"/>
        <v>18</v>
      </c>
      <c r="U12" s="4" t="str">
        <f t="shared" si="2"/>
        <v/>
      </c>
      <c r="V12" s="4" t="e">
        <f>IF($V$3=$M$3,M12,U12*(1+'Rhaniad y Ddeiliadaeth (Cymru)'!C$118))</f>
        <v>#VALUE!</v>
      </c>
      <c r="W12" s="4" t="e">
        <f>V12*(1+'Rhaniad y Ddeiliadaeth (Cymru)'!D$118)</f>
        <v>#VALUE!</v>
      </c>
      <c r="X12" s="4" t="e">
        <f>W12*(1+'Rhaniad y Ddeiliadaeth (Cymru)'!E$118)</f>
        <v>#VALUE!</v>
      </c>
      <c r="Y12" s="4" t="e">
        <f>X12*(1+'Rhaniad y Ddeiliadaeth (Cymru)'!F$118)</f>
        <v>#VALUE!</v>
      </c>
      <c r="Z12" s="4" t="e">
        <f>Y12*(1+'Rhaniad y Ddeiliadaeth (Cymru)'!G$118)</f>
        <v>#VALUE!</v>
      </c>
      <c r="AB12" s="1">
        <v>18</v>
      </c>
      <c r="AC12" s="4">
        <f>IF('Rhaniad y Ddeiliadaeth (Cymru)'!$D$18="Data Cofrestrfa Tir",'Prisiau Tai (Canol. &amp; De-orll)'!D12,'Prisiau Tai (Canol. &amp; De-orll)'!V12)</f>
        <v>92556.502676378499</v>
      </c>
      <c r="AD12" s="4">
        <f>IF('Rhaniad y Ddeiliadaeth (Cymru)'!$D$18="Data Cofrestrfa Tir",'Prisiau Tai (Canol. &amp; De-orll)'!E12,'Prisiau Tai (Canol. &amp; De-orll)'!W12)</f>
        <v>92762.584796326802</v>
      </c>
      <c r="AE12" s="4">
        <f>IF('Rhaniad y Ddeiliadaeth (Cymru)'!$D$18="Data Cofrestrfa Tir",'Prisiau Tai (Canol. &amp; De-orll)'!F12,'Prisiau Tai (Canol. &amp; De-orll)'!X12)</f>
        <v>94759.241923905938</v>
      </c>
      <c r="AF12" s="4">
        <f>IF('Rhaniad y Ddeiliadaeth (Cymru)'!$D$18="Data Cofrestrfa Tir",'Prisiau Tai (Canol. &amp; De-orll)'!G12,'Prisiau Tai (Canol. &amp; De-orll)'!Y12)</f>
        <v>98454.773568624485</v>
      </c>
      <c r="AG12" s="4">
        <f>IF('Rhaniad y Ddeiliadaeth (Cymru)'!$D$18="Data Cofrestrfa Tir",'Prisiau Tai (Canol. &amp; De-orll)'!H12,'Prisiau Tai (Canol. &amp; De-orll)'!Z12)</f>
        <v>102538.67008407773</v>
      </c>
    </row>
    <row r="13" spans="2:33" x14ac:dyDescent="0.25">
      <c r="B13" s="20">
        <v>19</v>
      </c>
      <c r="C13" s="56">
        <v>92000</v>
      </c>
      <c r="D13" s="57">
        <f>C13*(1+'Rhaniad y Ddeiliadaeth (C&amp;De-o)'!C$118)</f>
        <v>94613.313846964695</v>
      </c>
      <c r="E13" s="57">
        <f>D13*(1+'Rhaniad y Ddeiliadaeth (C&amp;De-o)'!D$118)</f>
        <v>94823.975569578513</v>
      </c>
      <c r="F13" s="57">
        <f>E13*(1+'Rhaniad y Ddeiliadaeth (C&amp;De-o)'!E$118)</f>
        <v>96865.0028555483</v>
      </c>
      <c r="G13" s="57">
        <f>F13*(1+'Rhaniad y Ddeiliadaeth (C&amp;De-o)'!F$118)</f>
        <v>100642.65742570504</v>
      </c>
      <c r="H13" s="57">
        <f>G13*(1+'Rhaniad y Ddeiliadaeth (C&amp;De-o)'!G$118)</f>
        <v>104817.30719705725</v>
      </c>
      <c r="L13" s="62" t="str">
        <f t="shared" si="0"/>
        <v/>
      </c>
      <c r="M13" s="239"/>
      <c r="N13" s="14">
        <f t="shared" si="3"/>
        <v>1</v>
      </c>
      <c r="T13" s="1">
        <f t="shared" si="1"/>
        <v>19</v>
      </c>
      <c r="U13" s="4" t="str">
        <f t="shared" si="2"/>
        <v/>
      </c>
      <c r="V13" s="4" t="e">
        <f>IF($V$3=$M$3,M13,U13*(1+'Rhaniad y Ddeiliadaeth (Cymru)'!C$118))</f>
        <v>#VALUE!</v>
      </c>
      <c r="W13" s="4" t="e">
        <f>V13*(1+'Rhaniad y Ddeiliadaeth (Cymru)'!D$118)</f>
        <v>#VALUE!</v>
      </c>
      <c r="X13" s="4" t="e">
        <f>W13*(1+'Rhaniad y Ddeiliadaeth (Cymru)'!E$118)</f>
        <v>#VALUE!</v>
      </c>
      <c r="Y13" s="4" t="e">
        <f>X13*(1+'Rhaniad y Ddeiliadaeth (Cymru)'!F$118)</f>
        <v>#VALUE!</v>
      </c>
      <c r="Z13" s="4" t="e">
        <f>Y13*(1+'Rhaniad y Ddeiliadaeth (Cymru)'!G$118)</f>
        <v>#VALUE!</v>
      </c>
      <c r="AB13" s="1">
        <v>19</v>
      </c>
      <c r="AC13" s="4">
        <f>IF('Rhaniad y Ddeiliadaeth (Cymru)'!$D$18="Data Cofrestrfa Tir",'Prisiau Tai (Canol. &amp; De-orll)'!D13,'Prisiau Tai (Canol. &amp; De-orll)'!V13)</f>
        <v>94613.313846964695</v>
      </c>
      <c r="AD13" s="4">
        <f>IF('Rhaniad y Ddeiliadaeth (Cymru)'!$D$18="Data Cofrestrfa Tir",'Prisiau Tai (Canol. &amp; De-orll)'!E13,'Prisiau Tai (Canol. &amp; De-orll)'!W13)</f>
        <v>94823.975569578513</v>
      </c>
      <c r="AE13" s="4">
        <f>IF('Rhaniad y Ddeiliadaeth (Cymru)'!$D$18="Data Cofrestrfa Tir",'Prisiau Tai (Canol. &amp; De-orll)'!F13,'Prisiau Tai (Canol. &amp; De-orll)'!X13)</f>
        <v>96865.0028555483</v>
      </c>
      <c r="AF13" s="4">
        <f>IF('Rhaniad y Ddeiliadaeth (Cymru)'!$D$18="Data Cofrestrfa Tir",'Prisiau Tai (Canol. &amp; De-orll)'!G13,'Prisiau Tai (Canol. &amp; De-orll)'!Y13)</f>
        <v>100642.65742570504</v>
      </c>
      <c r="AG13" s="4">
        <f>IF('Rhaniad y Ddeiliadaeth (Cymru)'!$D$18="Data Cofrestrfa Tir",'Prisiau Tai (Canol. &amp; De-orll)'!H13,'Prisiau Tai (Canol. &amp; De-orll)'!Z13)</f>
        <v>104817.30719705725</v>
      </c>
    </row>
    <row r="14" spans="2:33" x14ac:dyDescent="0.25">
      <c r="B14" s="20">
        <v>20</v>
      </c>
      <c r="C14" s="56">
        <v>94000</v>
      </c>
      <c r="D14" s="57">
        <f>C14*(1+'Rhaniad y Ddeiliadaeth (C&amp;De-o)'!C$118)</f>
        <v>96670.125017550876</v>
      </c>
      <c r="E14" s="57">
        <f>D14*(1+'Rhaniad y Ddeiliadaeth (C&amp;De-o)'!D$118)</f>
        <v>96885.36634283021</v>
      </c>
      <c r="F14" s="57">
        <f>E14*(1+'Rhaniad y Ddeiliadaeth (C&amp;De-o)'!E$118)</f>
        <v>98970.763787190648</v>
      </c>
      <c r="G14" s="57">
        <f>F14*(1+'Rhaniad y Ddeiliadaeth (C&amp;De-o)'!F$118)</f>
        <v>102830.54128278558</v>
      </c>
      <c r="H14" s="57">
        <f>G14*(1+'Rhaniad y Ddeiliadaeth (C&amp;De-o)'!G$118)</f>
        <v>107095.94431003675</v>
      </c>
      <c r="L14" s="62" t="str">
        <f t="shared" si="0"/>
        <v/>
      </c>
      <c r="M14" s="239"/>
      <c r="N14" s="14">
        <f t="shared" si="3"/>
        <v>1</v>
      </c>
      <c r="T14" s="1">
        <f t="shared" si="1"/>
        <v>20</v>
      </c>
      <c r="U14" s="4" t="str">
        <f t="shared" si="2"/>
        <v/>
      </c>
      <c r="V14" s="4" t="e">
        <f>IF($V$3=$M$3,M14,U14*(1+'Rhaniad y Ddeiliadaeth (Cymru)'!C$118))</f>
        <v>#VALUE!</v>
      </c>
      <c r="W14" s="4" t="e">
        <f>V14*(1+'Rhaniad y Ddeiliadaeth (Cymru)'!D$118)</f>
        <v>#VALUE!</v>
      </c>
      <c r="X14" s="4" t="e">
        <f>W14*(1+'Rhaniad y Ddeiliadaeth (Cymru)'!E$118)</f>
        <v>#VALUE!</v>
      </c>
      <c r="Y14" s="4" t="e">
        <f>X14*(1+'Rhaniad y Ddeiliadaeth (Cymru)'!F$118)</f>
        <v>#VALUE!</v>
      </c>
      <c r="Z14" s="4" t="e">
        <f>Y14*(1+'Rhaniad y Ddeiliadaeth (Cymru)'!G$118)</f>
        <v>#VALUE!</v>
      </c>
      <c r="AB14" s="1">
        <v>20</v>
      </c>
      <c r="AC14" s="4">
        <f>IF('Rhaniad y Ddeiliadaeth (Cymru)'!$D$18="Data Cofrestrfa Tir",'Prisiau Tai (Canol. &amp; De-orll)'!D14,'Prisiau Tai (Canol. &amp; De-orll)'!V14)</f>
        <v>96670.125017550876</v>
      </c>
      <c r="AD14" s="4">
        <f>IF('Rhaniad y Ddeiliadaeth (Cymru)'!$D$18="Data Cofrestrfa Tir",'Prisiau Tai (Canol. &amp; De-orll)'!E14,'Prisiau Tai (Canol. &amp; De-orll)'!W14)</f>
        <v>96885.36634283021</v>
      </c>
      <c r="AE14" s="4">
        <f>IF('Rhaniad y Ddeiliadaeth (Cymru)'!$D$18="Data Cofrestrfa Tir",'Prisiau Tai (Canol. &amp; De-orll)'!F14,'Prisiau Tai (Canol. &amp; De-orll)'!X14)</f>
        <v>98970.763787190648</v>
      </c>
      <c r="AF14" s="4">
        <f>IF('Rhaniad y Ddeiliadaeth (Cymru)'!$D$18="Data Cofrestrfa Tir",'Prisiau Tai (Canol. &amp; De-orll)'!G14,'Prisiau Tai (Canol. &amp; De-orll)'!Y14)</f>
        <v>102830.54128278558</v>
      </c>
      <c r="AG14" s="4">
        <f>IF('Rhaniad y Ddeiliadaeth (Cymru)'!$D$18="Data Cofrestrfa Tir",'Prisiau Tai (Canol. &amp; De-orll)'!H14,'Prisiau Tai (Canol. &amp; De-orll)'!Z14)</f>
        <v>107095.94431003675</v>
      </c>
    </row>
    <row r="15" spans="2:33" x14ac:dyDescent="0.25">
      <c r="B15" s="20">
        <v>21</v>
      </c>
      <c r="C15" s="56">
        <v>95000</v>
      </c>
      <c r="D15" s="57">
        <f>C15*(1+'Rhaniad y Ddeiliadaeth (C&amp;De-o)'!C$118)</f>
        <v>97698.530602843966</v>
      </c>
      <c r="E15" s="57">
        <f>D15*(1+'Rhaniad y Ddeiliadaeth (C&amp;De-o)'!D$118)</f>
        <v>97916.061729456065</v>
      </c>
      <c r="F15" s="57">
        <f>E15*(1+'Rhaniad y Ddeiliadaeth (C&amp;De-o)'!E$118)</f>
        <v>100023.64425301182</v>
      </c>
      <c r="G15" s="57">
        <f>F15*(1+'Rhaniad y Ddeiliadaeth (C&amp;De-o)'!F$118)</f>
        <v>103924.48321132585</v>
      </c>
      <c r="H15" s="57">
        <f>G15*(1+'Rhaniad y Ddeiliadaeth (C&amp;De-o)'!G$118)</f>
        <v>108235.26286652649</v>
      </c>
      <c r="L15" s="62" t="str">
        <f t="shared" si="0"/>
        <v/>
      </c>
      <c r="M15" s="239"/>
      <c r="N15" s="14">
        <f t="shared" si="3"/>
        <v>1</v>
      </c>
      <c r="T15" s="1">
        <f t="shared" si="1"/>
        <v>21</v>
      </c>
      <c r="U15" s="4" t="str">
        <f t="shared" si="2"/>
        <v/>
      </c>
      <c r="V15" s="4" t="e">
        <f>IF($V$3=$M$3,M15,U15*(1+'Rhaniad y Ddeiliadaeth (Cymru)'!C$118))</f>
        <v>#VALUE!</v>
      </c>
      <c r="W15" s="4" t="e">
        <f>V15*(1+'Rhaniad y Ddeiliadaeth (Cymru)'!D$118)</f>
        <v>#VALUE!</v>
      </c>
      <c r="X15" s="4" t="e">
        <f>W15*(1+'Rhaniad y Ddeiliadaeth (Cymru)'!E$118)</f>
        <v>#VALUE!</v>
      </c>
      <c r="Y15" s="4" t="e">
        <f>X15*(1+'Rhaniad y Ddeiliadaeth (Cymru)'!F$118)</f>
        <v>#VALUE!</v>
      </c>
      <c r="Z15" s="4" t="e">
        <f>Y15*(1+'Rhaniad y Ddeiliadaeth (Cymru)'!G$118)</f>
        <v>#VALUE!</v>
      </c>
      <c r="AB15" s="1">
        <v>21</v>
      </c>
      <c r="AC15" s="4">
        <f>IF('Rhaniad y Ddeiliadaeth (Cymru)'!$D$18="Data Cofrestrfa Tir",'Prisiau Tai (Canol. &amp; De-orll)'!D15,'Prisiau Tai (Canol. &amp; De-orll)'!V15)</f>
        <v>97698.530602843966</v>
      </c>
      <c r="AD15" s="4">
        <f>IF('Rhaniad y Ddeiliadaeth (Cymru)'!$D$18="Data Cofrestrfa Tir",'Prisiau Tai (Canol. &amp; De-orll)'!E15,'Prisiau Tai (Canol. &amp; De-orll)'!W15)</f>
        <v>97916.061729456065</v>
      </c>
      <c r="AE15" s="4">
        <f>IF('Rhaniad y Ddeiliadaeth (Cymru)'!$D$18="Data Cofrestrfa Tir",'Prisiau Tai (Canol. &amp; De-orll)'!F15,'Prisiau Tai (Canol. &amp; De-orll)'!X15)</f>
        <v>100023.64425301182</v>
      </c>
      <c r="AF15" s="4">
        <f>IF('Rhaniad y Ddeiliadaeth (Cymru)'!$D$18="Data Cofrestrfa Tir",'Prisiau Tai (Canol. &amp; De-orll)'!G15,'Prisiau Tai (Canol. &amp; De-orll)'!Y15)</f>
        <v>103924.48321132585</v>
      </c>
      <c r="AG15" s="4">
        <f>IF('Rhaniad y Ddeiliadaeth (Cymru)'!$D$18="Data Cofrestrfa Tir",'Prisiau Tai (Canol. &amp; De-orll)'!H15,'Prisiau Tai (Canol. &amp; De-orll)'!Z15)</f>
        <v>108235.26286652649</v>
      </c>
    </row>
    <row r="16" spans="2:33" x14ac:dyDescent="0.25">
      <c r="B16" s="20">
        <v>22</v>
      </c>
      <c r="C16" s="56">
        <v>97000</v>
      </c>
      <c r="D16" s="57">
        <f>C16*(1+'Rhaniad y Ddeiliadaeth (C&amp;De-o)'!C$118)</f>
        <v>99755.341773430162</v>
      </c>
      <c r="E16" s="57">
        <f>D16*(1+'Rhaniad y Ddeiliadaeth (C&amp;De-o)'!D$118)</f>
        <v>99977.452502707776</v>
      </c>
      <c r="F16" s="57">
        <f>E16*(1+'Rhaniad y Ddeiliadaeth (C&amp;De-o)'!E$118)</f>
        <v>102129.40518465418</v>
      </c>
      <c r="G16" s="57">
        <f>F16*(1+'Rhaniad y Ddeiliadaeth (C&amp;De-o)'!F$118)</f>
        <v>106112.3670684064</v>
      </c>
      <c r="H16" s="57">
        <f>G16*(1+'Rhaniad y Ddeiliadaeth (C&amp;De-o)'!G$118)</f>
        <v>110513.89997950601</v>
      </c>
      <c r="L16" s="62" t="str">
        <f t="shared" si="0"/>
        <v/>
      </c>
      <c r="M16" s="239"/>
      <c r="N16" s="14">
        <f t="shared" si="3"/>
        <v>1</v>
      </c>
      <c r="T16" s="1">
        <f t="shared" si="1"/>
        <v>22</v>
      </c>
      <c r="U16" s="4" t="str">
        <f t="shared" si="2"/>
        <v/>
      </c>
      <c r="V16" s="4" t="e">
        <f>IF($V$3=$M$3,M16,U16*(1+'Rhaniad y Ddeiliadaeth (Cymru)'!C$118))</f>
        <v>#VALUE!</v>
      </c>
      <c r="W16" s="4" t="e">
        <f>V16*(1+'Rhaniad y Ddeiliadaeth (Cymru)'!D$118)</f>
        <v>#VALUE!</v>
      </c>
      <c r="X16" s="4" t="e">
        <f>W16*(1+'Rhaniad y Ddeiliadaeth (Cymru)'!E$118)</f>
        <v>#VALUE!</v>
      </c>
      <c r="Y16" s="4" t="e">
        <f>X16*(1+'Rhaniad y Ddeiliadaeth (Cymru)'!F$118)</f>
        <v>#VALUE!</v>
      </c>
      <c r="Z16" s="4" t="e">
        <f>Y16*(1+'Rhaniad y Ddeiliadaeth (Cymru)'!G$118)</f>
        <v>#VALUE!</v>
      </c>
      <c r="AB16" s="1">
        <v>22</v>
      </c>
      <c r="AC16" s="4">
        <f>IF('Rhaniad y Ddeiliadaeth (Cymru)'!$D$18="Data Cofrestrfa Tir",'Prisiau Tai (Canol. &amp; De-orll)'!D16,'Prisiau Tai (Canol. &amp; De-orll)'!V16)</f>
        <v>99755.341773430162</v>
      </c>
      <c r="AD16" s="4">
        <f>IF('Rhaniad y Ddeiliadaeth (Cymru)'!$D$18="Data Cofrestrfa Tir",'Prisiau Tai (Canol. &amp; De-orll)'!E16,'Prisiau Tai (Canol. &amp; De-orll)'!W16)</f>
        <v>99977.452502707776</v>
      </c>
      <c r="AE16" s="4">
        <f>IF('Rhaniad y Ddeiliadaeth (Cymru)'!$D$18="Data Cofrestrfa Tir",'Prisiau Tai (Canol. &amp; De-orll)'!F16,'Prisiau Tai (Canol. &amp; De-orll)'!X16)</f>
        <v>102129.40518465418</v>
      </c>
      <c r="AF16" s="4">
        <f>IF('Rhaniad y Ddeiliadaeth (Cymru)'!$D$18="Data Cofrestrfa Tir",'Prisiau Tai (Canol. &amp; De-orll)'!G16,'Prisiau Tai (Canol. &amp; De-orll)'!Y16)</f>
        <v>106112.3670684064</v>
      </c>
      <c r="AG16" s="4">
        <f>IF('Rhaniad y Ddeiliadaeth (Cymru)'!$D$18="Data Cofrestrfa Tir",'Prisiau Tai (Canol. &amp; De-orll)'!H16,'Prisiau Tai (Canol. &amp; De-orll)'!Z16)</f>
        <v>110513.89997950601</v>
      </c>
    </row>
    <row r="17" spans="2:33" x14ac:dyDescent="0.25">
      <c r="B17" s="20">
        <v>23</v>
      </c>
      <c r="C17" s="56">
        <v>99950</v>
      </c>
      <c r="D17" s="57">
        <f>C17*(1+'Rhaniad y Ddeiliadaeth (C&amp;De-o)'!C$118)</f>
        <v>102789.13825004479</v>
      </c>
      <c r="E17" s="57">
        <f>D17*(1+'Rhaniad y Ddeiliadaeth (C&amp;De-o)'!D$118)</f>
        <v>103018.00389325405</v>
      </c>
      <c r="F17" s="57">
        <f>E17*(1+'Rhaniad y Ddeiliadaeth (C&amp;De-o)'!E$118)</f>
        <v>105235.40255882665</v>
      </c>
      <c r="G17" s="57">
        <f>F17*(1+'Rhaniad y Ddeiliadaeth (C&amp;De-o)'!F$118)</f>
        <v>109339.49575760021</v>
      </c>
      <c r="H17" s="57">
        <f>G17*(1+'Rhaniad y Ddeiliadaeth (C&amp;De-o)'!G$118)</f>
        <v>113874.88972115079</v>
      </c>
      <c r="L17" s="62" t="str">
        <f t="shared" si="0"/>
        <v/>
      </c>
      <c r="M17" s="239"/>
      <c r="N17" s="14">
        <f t="shared" si="3"/>
        <v>1</v>
      </c>
      <c r="T17" s="1">
        <f t="shared" si="1"/>
        <v>23</v>
      </c>
      <c r="U17" s="4" t="str">
        <f t="shared" si="2"/>
        <v/>
      </c>
      <c r="V17" s="4" t="e">
        <f>IF($V$3=$M$3,M17,U17*(1+'Rhaniad y Ddeiliadaeth (Cymru)'!C$118))</f>
        <v>#VALUE!</v>
      </c>
      <c r="W17" s="4" t="e">
        <f>V17*(1+'Rhaniad y Ddeiliadaeth (Cymru)'!D$118)</f>
        <v>#VALUE!</v>
      </c>
      <c r="X17" s="4" t="e">
        <f>W17*(1+'Rhaniad y Ddeiliadaeth (Cymru)'!E$118)</f>
        <v>#VALUE!</v>
      </c>
      <c r="Y17" s="4" t="e">
        <f>X17*(1+'Rhaniad y Ddeiliadaeth (Cymru)'!F$118)</f>
        <v>#VALUE!</v>
      </c>
      <c r="Z17" s="4" t="e">
        <f>Y17*(1+'Rhaniad y Ddeiliadaeth (Cymru)'!G$118)</f>
        <v>#VALUE!</v>
      </c>
      <c r="AB17" s="1">
        <v>23</v>
      </c>
      <c r="AC17" s="4">
        <f>IF('Rhaniad y Ddeiliadaeth (Cymru)'!$D$18="Data Cofrestrfa Tir",'Prisiau Tai (Canol. &amp; De-orll)'!D17,'Prisiau Tai (Canol. &amp; De-orll)'!V17)</f>
        <v>102789.13825004479</v>
      </c>
      <c r="AD17" s="4">
        <f>IF('Rhaniad y Ddeiliadaeth (Cymru)'!$D$18="Data Cofrestrfa Tir",'Prisiau Tai (Canol. &amp; De-orll)'!E17,'Prisiau Tai (Canol. &amp; De-orll)'!W17)</f>
        <v>103018.00389325405</v>
      </c>
      <c r="AE17" s="4">
        <f>IF('Rhaniad y Ddeiliadaeth (Cymru)'!$D$18="Data Cofrestrfa Tir",'Prisiau Tai (Canol. &amp; De-orll)'!F17,'Prisiau Tai (Canol. &amp; De-orll)'!X17)</f>
        <v>105235.40255882665</v>
      </c>
      <c r="AF17" s="4">
        <f>IF('Rhaniad y Ddeiliadaeth (Cymru)'!$D$18="Data Cofrestrfa Tir",'Prisiau Tai (Canol. &amp; De-orll)'!G17,'Prisiau Tai (Canol. &amp; De-orll)'!Y17)</f>
        <v>109339.49575760021</v>
      </c>
      <c r="AG17" s="4">
        <f>IF('Rhaniad y Ddeiliadaeth (Cymru)'!$D$18="Data Cofrestrfa Tir",'Prisiau Tai (Canol. &amp; De-orll)'!H17,'Prisiau Tai (Canol. &amp; De-orll)'!Z17)</f>
        <v>113874.88972115079</v>
      </c>
    </row>
    <row r="18" spans="2:33" x14ac:dyDescent="0.25">
      <c r="B18" s="20">
        <v>24</v>
      </c>
      <c r="C18" s="56">
        <v>100000</v>
      </c>
      <c r="D18" s="57">
        <f>C18*(1+'Rhaniad y Ddeiliadaeth (C&amp;De-o)'!C$118)</f>
        <v>102840.55852930945</v>
      </c>
      <c r="E18" s="57">
        <f>D18*(1+'Rhaniad y Ddeiliadaeth (C&amp;De-o)'!D$118)</f>
        <v>103069.53866258534</v>
      </c>
      <c r="F18" s="57">
        <f>E18*(1+'Rhaniad y Ddeiliadaeth (C&amp;De-o)'!E$118)</f>
        <v>105288.04658211772</v>
      </c>
      <c r="G18" s="57">
        <f>F18*(1+'Rhaniad y Ddeiliadaeth (C&amp;De-o)'!F$118)</f>
        <v>109394.19285402722</v>
      </c>
      <c r="H18" s="57">
        <f>G18*(1+'Rhaniad y Ddeiliadaeth (C&amp;De-o)'!G$118)</f>
        <v>113931.85564897528</v>
      </c>
      <c r="L18" s="62" t="str">
        <f t="shared" si="0"/>
        <v/>
      </c>
      <c r="M18" s="239"/>
      <c r="N18" s="14">
        <f t="shared" si="3"/>
        <v>1</v>
      </c>
      <c r="T18" s="1">
        <f t="shared" si="1"/>
        <v>24</v>
      </c>
      <c r="U18" s="4" t="str">
        <f t="shared" si="2"/>
        <v/>
      </c>
      <c r="V18" s="4" t="e">
        <f>IF($V$3=$M$3,M18,U18*(1+'Rhaniad y Ddeiliadaeth (Cymru)'!C$118))</f>
        <v>#VALUE!</v>
      </c>
      <c r="W18" s="4" t="e">
        <f>V18*(1+'Rhaniad y Ddeiliadaeth (Cymru)'!D$118)</f>
        <v>#VALUE!</v>
      </c>
      <c r="X18" s="4" t="e">
        <f>W18*(1+'Rhaniad y Ddeiliadaeth (Cymru)'!E$118)</f>
        <v>#VALUE!</v>
      </c>
      <c r="Y18" s="4" t="e">
        <f>X18*(1+'Rhaniad y Ddeiliadaeth (Cymru)'!F$118)</f>
        <v>#VALUE!</v>
      </c>
      <c r="Z18" s="4" t="e">
        <f>Y18*(1+'Rhaniad y Ddeiliadaeth (Cymru)'!G$118)</f>
        <v>#VALUE!</v>
      </c>
      <c r="AB18" s="1">
        <v>24</v>
      </c>
      <c r="AC18" s="4">
        <f>IF('Rhaniad y Ddeiliadaeth (Cymru)'!$D$18="Data Cofrestrfa Tir",'Prisiau Tai (Canol. &amp; De-orll)'!D18,'Prisiau Tai (Canol. &amp; De-orll)'!V18)</f>
        <v>102840.55852930945</v>
      </c>
      <c r="AD18" s="4">
        <f>IF('Rhaniad y Ddeiliadaeth (Cymru)'!$D$18="Data Cofrestrfa Tir",'Prisiau Tai (Canol. &amp; De-orll)'!E18,'Prisiau Tai (Canol. &amp; De-orll)'!W18)</f>
        <v>103069.53866258534</v>
      </c>
      <c r="AE18" s="4">
        <f>IF('Rhaniad y Ddeiliadaeth (Cymru)'!$D$18="Data Cofrestrfa Tir",'Prisiau Tai (Canol. &amp; De-orll)'!F18,'Prisiau Tai (Canol. &amp; De-orll)'!X18)</f>
        <v>105288.04658211772</v>
      </c>
      <c r="AF18" s="4">
        <f>IF('Rhaniad y Ddeiliadaeth (Cymru)'!$D$18="Data Cofrestrfa Tir",'Prisiau Tai (Canol. &amp; De-orll)'!G18,'Prisiau Tai (Canol. &amp; De-orll)'!Y18)</f>
        <v>109394.19285402722</v>
      </c>
      <c r="AG18" s="4">
        <f>IF('Rhaniad y Ddeiliadaeth (Cymru)'!$D$18="Data Cofrestrfa Tir",'Prisiau Tai (Canol. &amp; De-orll)'!H18,'Prisiau Tai (Canol. &amp; De-orll)'!Z18)</f>
        <v>113931.85564897528</v>
      </c>
    </row>
    <row r="19" spans="2:33" x14ac:dyDescent="0.25">
      <c r="B19" s="20">
        <v>25</v>
      </c>
      <c r="C19" s="56">
        <v>102500</v>
      </c>
      <c r="D19" s="57">
        <f>C19*(1+'Rhaniad y Ddeiliadaeth (C&amp;De-o)'!C$118)</f>
        <v>105411.57249254218</v>
      </c>
      <c r="E19" s="57">
        <f>D19*(1+'Rhaniad y Ddeiliadaeth (C&amp;De-o)'!D$118)</f>
        <v>105646.27712914997</v>
      </c>
      <c r="F19" s="57">
        <f>E19*(1+'Rhaniad y Ddeiliadaeth (C&amp;De-o)'!E$118)</f>
        <v>107920.24774667065</v>
      </c>
      <c r="G19" s="57">
        <f>F19*(1+'Rhaniad y Ddeiliadaeth (C&amp;De-o)'!F$118)</f>
        <v>112129.04767537789</v>
      </c>
      <c r="H19" s="57">
        <f>G19*(1+'Rhaniad y Ddeiliadaeth (C&amp;De-o)'!G$118)</f>
        <v>116780.15204019965</v>
      </c>
      <c r="L19" s="62" t="str">
        <f t="shared" si="0"/>
        <v/>
      </c>
      <c r="M19" s="239"/>
      <c r="N19" s="14">
        <f t="shared" si="3"/>
        <v>1</v>
      </c>
      <c r="T19" s="1">
        <f t="shared" si="1"/>
        <v>25</v>
      </c>
      <c r="U19" s="4" t="str">
        <f t="shared" si="2"/>
        <v/>
      </c>
      <c r="V19" s="4" t="e">
        <f>IF($V$3=$M$3,M19,U19*(1+'Rhaniad y Ddeiliadaeth (Cymru)'!C$118))</f>
        <v>#VALUE!</v>
      </c>
      <c r="W19" s="4" t="e">
        <f>V19*(1+'Rhaniad y Ddeiliadaeth (Cymru)'!D$118)</f>
        <v>#VALUE!</v>
      </c>
      <c r="X19" s="4" t="e">
        <f>W19*(1+'Rhaniad y Ddeiliadaeth (Cymru)'!E$118)</f>
        <v>#VALUE!</v>
      </c>
      <c r="Y19" s="4" t="e">
        <f>X19*(1+'Rhaniad y Ddeiliadaeth (Cymru)'!F$118)</f>
        <v>#VALUE!</v>
      </c>
      <c r="Z19" s="4" t="e">
        <f>Y19*(1+'Rhaniad y Ddeiliadaeth (Cymru)'!G$118)</f>
        <v>#VALUE!</v>
      </c>
      <c r="AB19" s="1">
        <v>25</v>
      </c>
      <c r="AC19" s="4">
        <f>IF('Rhaniad y Ddeiliadaeth (Cymru)'!$D$18="Data Cofrestrfa Tir",'Prisiau Tai (Canol. &amp; De-orll)'!D19,'Prisiau Tai (Canol. &amp; De-orll)'!V19)</f>
        <v>105411.57249254218</v>
      </c>
      <c r="AD19" s="4">
        <f>IF('Rhaniad y Ddeiliadaeth (Cymru)'!$D$18="Data Cofrestrfa Tir",'Prisiau Tai (Canol. &amp; De-orll)'!E19,'Prisiau Tai (Canol. &amp; De-orll)'!W19)</f>
        <v>105646.27712914997</v>
      </c>
      <c r="AE19" s="4">
        <f>IF('Rhaniad y Ddeiliadaeth (Cymru)'!$D$18="Data Cofrestrfa Tir",'Prisiau Tai (Canol. &amp; De-orll)'!F19,'Prisiau Tai (Canol. &amp; De-orll)'!X19)</f>
        <v>107920.24774667065</v>
      </c>
      <c r="AF19" s="4">
        <f>IF('Rhaniad y Ddeiliadaeth (Cymru)'!$D$18="Data Cofrestrfa Tir",'Prisiau Tai (Canol. &amp; De-orll)'!G19,'Prisiau Tai (Canol. &amp; De-orll)'!Y19)</f>
        <v>112129.04767537789</v>
      </c>
      <c r="AG19" s="4">
        <f>IF('Rhaniad y Ddeiliadaeth (Cymru)'!$D$18="Data Cofrestrfa Tir",'Prisiau Tai (Canol. &amp; De-orll)'!H19,'Prisiau Tai (Canol. &amp; De-orll)'!Z19)</f>
        <v>116780.15204019965</v>
      </c>
    </row>
    <row r="20" spans="2:33" x14ac:dyDescent="0.25">
      <c r="B20" s="20">
        <v>26</v>
      </c>
      <c r="C20" s="56">
        <v>105000</v>
      </c>
      <c r="D20" s="57">
        <f>C20*(1+'Rhaniad y Ddeiliadaeth (C&amp;De-o)'!C$118)</f>
        <v>107982.58645577492</v>
      </c>
      <c r="E20" s="57">
        <f>D20*(1+'Rhaniad y Ddeiliadaeth (C&amp;De-o)'!D$118)</f>
        <v>108223.01559571461</v>
      </c>
      <c r="F20" s="57">
        <f>E20*(1+'Rhaniad y Ddeiliadaeth (C&amp;De-o)'!E$118)</f>
        <v>110552.4489112236</v>
      </c>
      <c r="G20" s="57">
        <f>F20*(1+'Rhaniad y Ddeiliadaeth (C&amp;De-o)'!F$118)</f>
        <v>114863.90249672858</v>
      </c>
      <c r="H20" s="57">
        <f>G20*(1+'Rhaniad y Ddeiliadaeth (C&amp;De-o)'!G$118)</f>
        <v>119628.44843142404</v>
      </c>
      <c r="L20" s="62" t="str">
        <f t="shared" si="0"/>
        <v/>
      </c>
      <c r="M20" s="239"/>
      <c r="N20" s="14">
        <f t="shared" si="3"/>
        <v>1</v>
      </c>
      <c r="T20" s="1">
        <f t="shared" si="1"/>
        <v>26</v>
      </c>
      <c r="U20" s="4" t="str">
        <f t="shared" si="2"/>
        <v/>
      </c>
      <c r="V20" s="4" t="e">
        <f>IF($V$3=$M$3,M20,U20*(1+'Rhaniad y Ddeiliadaeth (Cymru)'!C$118))</f>
        <v>#VALUE!</v>
      </c>
      <c r="W20" s="4" t="e">
        <f>V20*(1+'Rhaniad y Ddeiliadaeth (Cymru)'!D$118)</f>
        <v>#VALUE!</v>
      </c>
      <c r="X20" s="4" t="e">
        <f>W20*(1+'Rhaniad y Ddeiliadaeth (Cymru)'!E$118)</f>
        <v>#VALUE!</v>
      </c>
      <c r="Y20" s="4" t="e">
        <f>X20*(1+'Rhaniad y Ddeiliadaeth (Cymru)'!F$118)</f>
        <v>#VALUE!</v>
      </c>
      <c r="Z20" s="4" t="e">
        <f>Y20*(1+'Rhaniad y Ddeiliadaeth (Cymru)'!G$118)</f>
        <v>#VALUE!</v>
      </c>
      <c r="AB20" s="1">
        <v>26</v>
      </c>
      <c r="AC20" s="4">
        <f>IF('Rhaniad y Ddeiliadaeth (Cymru)'!$D$18="Data Cofrestrfa Tir",'Prisiau Tai (Canol. &amp; De-orll)'!D20,'Prisiau Tai (Canol. &amp; De-orll)'!V20)</f>
        <v>107982.58645577492</v>
      </c>
      <c r="AD20" s="4">
        <f>IF('Rhaniad y Ddeiliadaeth (Cymru)'!$D$18="Data Cofrestrfa Tir",'Prisiau Tai (Canol. &amp; De-orll)'!E20,'Prisiau Tai (Canol. &amp; De-orll)'!W20)</f>
        <v>108223.01559571461</v>
      </c>
      <c r="AE20" s="4">
        <f>IF('Rhaniad y Ddeiliadaeth (Cymru)'!$D$18="Data Cofrestrfa Tir",'Prisiau Tai (Canol. &amp; De-orll)'!F20,'Prisiau Tai (Canol. &amp; De-orll)'!X20)</f>
        <v>110552.4489112236</v>
      </c>
      <c r="AF20" s="4">
        <f>IF('Rhaniad y Ddeiliadaeth (Cymru)'!$D$18="Data Cofrestrfa Tir",'Prisiau Tai (Canol. &amp; De-orll)'!G20,'Prisiau Tai (Canol. &amp; De-orll)'!Y20)</f>
        <v>114863.90249672858</v>
      </c>
      <c r="AG20" s="4">
        <f>IF('Rhaniad y Ddeiliadaeth (Cymru)'!$D$18="Data Cofrestrfa Tir",'Prisiau Tai (Canol. &amp; De-orll)'!H20,'Prisiau Tai (Canol. &amp; De-orll)'!Z20)</f>
        <v>119628.44843142404</v>
      </c>
    </row>
    <row r="21" spans="2:33" x14ac:dyDescent="0.25">
      <c r="B21" s="20">
        <v>27</v>
      </c>
      <c r="C21" s="56">
        <v>105500</v>
      </c>
      <c r="D21" s="57">
        <f>C21*(1+'Rhaniad y Ddeiliadaeth (C&amp;De-o)'!C$118)</f>
        <v>108496.78924842147</v>
      </c>
      <c r="E21" s="57">
        <f>D21*(1+'Rhaniad y Ddeiliadaeth (C&amp;De-o)'!D$118)</f>
        <v>108738.36328902753</v>
      </c>
      <c r="F21" s="57">
        <f>E21*(1+'Rhaniad y Ddeiliadaeth (C&amp;De-o)'!E$118)</f>
        <v>111078.88914413418</v>
      </c>
      <c r="G21" s="57">
        <f>F21*(1+'Rhaniad y Ddeiliadaeth (C&amp;De-o)'!F$118)</f>
        <v>115410.87346099872</v>
      </c>
      <c r="H21" s="57">
        <f>G21*(1+'Rhaniad y Ddeiliadaeth (C&amp;De-o)'!G$118)</f>
        <v>120198.10770966891</v>
      </c>
      <c r="L21" s="62" t="str">
        <f t="shared" si="0"/>
        <v/>
      </c>
      <c r="M21" s="239"/>
      <c r="N21" s="14">
        <f t="shared" si="3"/>
        <v>1</v>
      </c>
      <c r="T21" s="1">
        <f t="shared" si="1"/>
        <v>27</v>
      </c>
      <c r="U21" s="4" t="str">
        <f t="shared" si="2"/>
        <v/>
      </c>
      <c r="V21" s="4" t="e">
        <f>IF($V$3=$M$3,M21,U21*(1+'Rhaniad y Ddeiliadaeth (Cymru)'!C$118))</f>
        <v>#VALUE!</v>
      </c>
      <c r="W21" s="4" t="e">
        <f>V21*(1+'Rhaniad y Ddeiliadaeth (Cymru)'!D$118)</f>
        <v>#VALUE!</v>
      </c>
      <c r="X21" s="4" t="e">
        <f>W21*(1+'Rhaniad y Ddeiliadaeth (Cymru)'!E$118)</f>
        <v>#VALUE!</v>
      </c>
      <c r="Y21" s="4" t="e">
        <f>X21*(1+'Rhaniad y Ddeiliadaeth (Cymru)'!F$118)</f>
        <v>#VALUE!</v>
      </c>
      <c r="Z21" s="4" t="e">
        <f>Y21*(1+'Rhaniad y Ddeiliadaeth (Cymru)'!G$118)</f>
        <v>#VALUE!</v>
      </c>
      <c r="AB21" s="1">
        <v>27</v>
      </c>
      <c r="AC21" s="4">
        <f>IF('Rhaniad y Ddeiliadaeth (Cymru)'!$D$18="Data Cofrestrfa Tir",'Prisiau Tai (Canol. &amp; De-orll)'!D21,'Prisiau Tai (Canol. &amp; De-orll)'!V21)</f>
        <v>108496.78924842147</v>
      </c>
      <c r="AD21" s="4">
        <f>IF('Rhaniad y Ddeiliadaeth (Cymru)'!$D$18="Data Cofrestrfa Tir",'Prisiau Tai (Canol. &amp; De-orll)'!E21,'Prisiau Tai (Canol. &amp; De-orll)'!W21)</f>
        <v>108738.36328902753</v>
      </c>
      <c r="AE21" s="4">
        <f>IF('Rhaniad y Ddeiliadaeth (Cymru)'!$D$18="Data Cofrestrfa Tir",'Prisiau Tai (Canol. &amp; De-orll)'!F21,'Prisiau Tai (Canol. &amp; De-orll)'!X21)</f>
        <v>111078.88914413418</v>
      </c>
      <c r="AF21" s="4">
        <f>IF('Rhaniad y Ddeiliadaeth (Cymru)'!$D$18="Data Cofrestrfa Tir",'Prisiau Tai (Canol. &amp; De-orll)'!G21,'Prisiau Tai (Canol. &amp; De-orll)'!Y21)</f>
        <v>115410.87346099872</v>
      </c>
      <c r="AG21" s="4">
        <f>IF('Rhaniad y Ddeiliadaeth (Cymru)'!$D$18="Data Cofrestrfa Tir",'Prisiau Tai (Canol. &amp; De-orll)'!H21,'Prisiau Tai (Canol. &amp; De-orll)'!Z21)</f>
        <v>120198.10770966891</v>
      </c>
    </row>
    <row r="22" spans="2:33" x14ac:dyDescent="0.25">
      <c r="B22" s="20">
        <v>28</v>
      </c>
      <c r="C22" s="56">
        <v>108000</v>
      </c>
      <c r="D22" s="57">
        <f>C22*(1+'Rhaniad y Ddeiliadaeth (C&amp;De-o)'!C$118)</f>
        <v>111067.8032116542</v>
      </c>
      <c r="E22" s="57">
        <f>D22*(1+'Rhaniad y Ddeiliadaeth (C&amp;De-o)'!D$118)</f>
        <v>111315.10175559217</v>
      </c>
      <c r="F22" s="57">
        <f>E22*(1+'Rhaniad y Ddeiliadaeth (C&amp;De-o)'!E$118)</f>
        <v>113711.09030868714</v>
      </c>
      <c r="G22" s="57">
        <f>F22*(1+'Rhaniad y Ddeiliadaeth (C&amp;De-o)'!F$118)</f>
        <v>118145.7282823494</v>
      </c>
      <c r="H22" s="57">
        <f>G22*(1+'Rhaniad y Ddeiliadaeth (C&amp;De-o)'!G$118)</f>
        <v>123046.4041008933</v>
      </c>
      <c r="L22" s="62" t="str">
        <f t="shared" si="0"/>
        <v/>
      </c>
      <c r="M22" s="239"/>
      <c r="N22" s="14">
        <f t="shared" si="3"/>
        <v>1</v>
      </c>
      <c r="T22" s="1">
        <f t="shared" si="1"/>
        <v>28</v>
      </c>
      <c r="U22" s="4" t="str">
        <f t="shared" si="2"/>
        <v/>
      </c>
      <c r="V22" s="4" t="e">
        <f>IF($V$3=$M$3,M22,U22*(1+'Rhaniad y Ddeiliadaeth (Cymru)'!C$118))</f>
        <v>#VALUE!</v>
      </c>
      <c r="W22" s="4" t="e">
        <f>V22*(1+'Rhaniad y Ddeiliadaeth (Cymru)'!D$118)</f>
        <v>#VALUE!</v>
      </c>
      <c r="X22" s="4" t="e">
        <f>W22*(1+'Rhaniad y Ddeiliadaeth (Cymru)'!E$118)</f>
        <v>#VALUE!</v>
      </c>
      <c r="Y22" s="4" t="e">
        <f>X22*(1+'Rhaniad y Ddeiliadaeth (Cymru)'!F$118)</f>
        <v>#VALUE!</v>
      </c>
      <c r="Z22" s="4" t="e">
        <f>Y22*(1+'Rhaniad y Ddeiliadaeth (Cymru)'!G$118)</f>
        <v>#VALUE!</v>
      </c>
      <c r="AB22" s="1">
        <v>28</v>
      </c>
      <c r="AC22" s="4">
        <f>IF('Rhaniad y Ddeiliadaeth (Cymru)'!$D$18="Data Cofrestrfa Tir",'Prisiau Tai (Canol. &amp; De-orll)'!D22,'Prisiau Tai (Canol. &amp; De-orll)'!V22)</f>
        <v>111067.8032116542</v>
      </c>
      <c r="AD22" s="4">
        <f>IF('Rhaniad y Ddeiliadaeth (Cymru)'!$D$18="Data Cofrestrfa Tir",'Prisiau Tai (Canol. &amp; De-orll)'!E22,'Prisiau Tai (Canol. &amp; De-orll)'!W22)</f>
        <v>111315.10175559217</v>
      </c>
      <c r="AE22" s="4">
        <f>IF('Rhaniad y Ddeiliadaeth (Cymru)'!$D$18="Data Cofrestrfa Tir",'Prisiau Tai (Canol. &amp; De-orll)'!F22,'Prisiau Tai (Canol. &amp; De-orll)'!X22)</f>
        <v>113711.09030868714</v>
      </c>
      <c r="AF22" s="4">
        <f>IF('Rhaniad y Ddeiliadaeth (Cymru)'!$D$18="Data Cofrestrfa Tir",'Prisiau Tai (Canol. &amp; De-orll)'!G22,'Prisiau Tai (Canol. &amp; De-orll)'!Y22)</f>
        <v>118145.7282823494</v>
      </c>
      <c r="AG22" s="4">
        <f>IF('Rhaniad y Ddeiliadaeth (Cymru)'!$D$18="Data Cofrestrfa Tir",'Prisiau Tai (Canol. &amp; De-orll)'!H22,'Prisiau Tai (Canol. &amp; De-orll)'!Z22)</f>
        <v>123046.4041008933</v>
      </c>
    </row>
    <row r="23" spans="2:33" x14ac:dyDescent="0.25">
      <c r="B23" s="20">
        <v>29</v>
      </c>
      <c r="C23" s="56">
        <v>110000</v>
      </c>
      <c r="D23" s="57">
        <f>C23*(1+'Rhaniad y Ddeiliadaeth (C&amp;De-o)'!C$118)</f>
        <v>113124.61438224038</v>
      </c>
      <c r="E23" s="57">
        <f>D23*(1+'Rhaniad y Ddeiliadaeth (C&amp;De-o)'!D$118)</f>
        <v>113376.49252884387</v>
      </c>
      <c r="F23" s="57">
        <f>E23*(1+'Rhaniad y Ddeiliadaeth (C&amp;De-o)'!E$118)</f>
        <v>115816.85124032947</v>
      </c>
      <c r="G23" s="57">
        <f>F23*(1+'Rhaniad y Ddeiliadaeth (C&amp;De-o)'!F$118)</f>
        <v>120333.61213942993</v>
      </c>
      <c r="H23" s="57">
        <f>G23*(1+'Rhaniad y Ddeiliadaeth (C&amp;De-o)'!G$118)</f>
        <v>125325.04121387278</v>
      </c>
      <c r="L23" s="62" t="str">
        <f t="shared" si="0"/>
        <v/>
      </c>
      <c r="M23" s="239"/>
      <c r="N23" s="14">
        <f t="shared" si="3"/>
        <v>1</v>
      </c>
      <c r="T23" s="1">
        <f t="shared" si="1"/>
        <v>29</v>
      </c>
      <c r="U23" s="4" t="str">
        <f t="shared" si="2"/>
        <v/>
      </c>
      <c r="V23" s="4" t="e">
        <f>IF($V$3=$M$3,M23,U23*(1+'Rhaniad y Ddeiliadaeth (Cymru)'!C$118))</f>
        <v>#VALUE!</v>
      </c>
      <c r="W23" s="4" t="e">
        <f>V23*(1+'Rhaniad y Ddeiliadaeth (Cymru)'!D$118)</f>
        <v>#VALUE!</v>
      </c>
      <c r="X23" s="4" t="e">
        <f>W23*(1+'Rhaniad y Ddeiliadaeth (Cymru)'!E$118)</f>
        <v>#VALUE!</v>
      </c>
      <c r="Y23" s="4" t="e">
        <f>X23*(1+'Rhaniad y Ddeiliadaeth (Cymru)'!F$118)</f>
        <v>#VALUE!</v>
      </c>
      <c r="Z23" s="4" t="e">
        <f>Y23*(1+'Rhaniad y Ddeiliadaeth (Cymru)'!G$118)</f>
        <v>#VALUE!</v>
      </c>
      <c r="AB23" s="1">
        <v>29</v>
      </c>
      <c r="AC23" s="4">
        <f>IF('Rhaniad y Ddeiliadaeth (Cymru)'!$D$18="Data Cofrestrfa Tir",'Prisiau Tai (Canol. &amp; De-orll)'!D23,'Prisiau Tai (Canol. &amp; De-orll)'!V23)</f>
        <v>113124.61438224038</v>
      </c>
      <c r="AD23" s="4">
        <f>IF('Rhaniad y Ddeiliadaeth (Cymru)'!$D$18="Data Cofrestrfa Tir",'Prisiau Tai (Canol. &amp; De-orll)'!E23,'Prisiau Tai (Canol. &amp; De-orll)'!W23)</f>
        <v>113376.49252884387</v>
      </c>
      <c r="AE23" s="4">
        <f>IF('Rhaniad y Ddeiliadaeth (Cymru)'!$D$18="Data Cofrestrfa Tir",'Prisiau Tai (Canol. &amp; De-orll)'!F23,'Prisiau Tai (Canol. &amp; De-orll)'!X23)</f>
        <v>115816.85124032947</v>
      </c>
      <c r="AF23" s="4">
        <f>IF('Rhaniad y Ddeiliadaeth (Cymru)'!$D$18="Data Cofrestrfa Tir",'Prisiau Tai (Canol. &amp; De-orll)'!G23,'Prisiau Tai (Canol. &amp; De-orll)'!Y23)</f>
        <v>120333.61213942993</v>
      </c>
      <c r="AG23" s="4">
        <f>IF('Rhaniad y Ddeiliadaeth (Cymru)'!$D$18="Data Cofrestrfa Tir",'Prisiau Tai (Canol. &amp; De-orll)'!H23,'Prisiau Tai (Canol. &amp; De-orll)'!Z23)</f>
        <v>125325.04121387278</v>
      </c>
    </row>
    <row r="24" spans="2:33" x14ac:dyDescent="0.25">
      <c r="B24" s="20">
        <v>30</v>
      </c>
      <c r="C24" s="56">
        <v>111000</v>
      </c>
      <c r="D24" s="57">
        <f>C24*(1+'Rhaniad y Ddeiliadaeth (C&amp;De-o)'!C$118)</f>
        <v>114153.01996753349</v>
      </c>
      <c r="E24" s="57">
        <f>D24*(1+'Rhaniad y Ddeiliadaeth (C&amp;De-o)'!D$118)</f>
        <v>114407.18791546972</v>
      </c>
      <c r="F24" s="57">
        <f>E24*(1+'Rhaniad y Ddeiliadaeth (C&amp;De-o)'!E$118)</f>
        <v>116869.73170615066</v>
      </c>
      <c r="G24" s="57">
        <f>F24*(1+'Rhaniad y Ddeiliadaeth (C&amp;De-o)'!F$118)</f>
        <v>121427.55406797021</v>
      </c>
      <c r="H24" s="57">
        <f>G24*(1+'Rhaniad y Ddeiliadaeth (C&amp;De-o)'!G$118)</f>
        <v>126464.35977036256</v>
      </c>
      <c r="L24" s="62" t="str">
        <f t="shared" si="0"/>
        <v/>
      </c>
      <c r="M24" s="239"/>
      <c r="N24" s="14">
        <f t="shared" si="3"/>
        <v>1</v>
      </c>
      <c r="T24" s="1">
        <f t="shared" si="1"/>
        <v>30</v>
      </c>
      <c r="U24" s="4" t="str">
        <f t="shared" si="2"/>
        <v/>
      </c>
      <c r="V24" s="4" t="e">
        <f>IF($V$3=$M$3,M24,U24*(1+'Rhaniad y Ddeiliadaeth (Cymru)'!C$118))</f>
        <v>#VALUE!</v>
      </c>
      <c r="W24" s="4" t="e">
        <f>V24*(1+'Rhaniad y Ddeiliadaeth (Cymru)'!D$118)</f>
        <v>#VALUE!</v>
      </c>
      <c r="X24" s="4" t="e">
        <f>W24*(1+'Rhaniad y Ddeiliadaeth (Cymru)'!E$118)</f>
        <v>#VALUE!</v>
      </c>
      <c r="Y24" s="4" t="e">
        <f>X24*(1+'Rhaniad y Ddeiliadaeth (Cymru)'!F$118)</f>
        <v>#VALUE!</v>
      </c>
      <c r="Z24" s="4" t="e">
        <f>Y24*(1+'Rhaniad y Ddeiliadaeth (Cymru)'!G$118)</f>
        <v>#VALUE!</v>
      </c>
      <c r="AB24" s="1">
        <v>30</v>
      </c>
      <c r="AC24" s="4">
        <f>IF('Rhaniad y Ddeiliadaeth (Cymru)'!$D$18="Data Cofrestrfa Tir",'Prisiau Tai (Canol. &amp; De-orll)'!D24,'Prisiau Tai (Canol. &amp; De-orll)'!V24)</f>
        <v>114153.01996753349</v>
      </c>
      <c r="AD24" s="4">
        <f>IF('Rhaniad y Ddeiliadaeth (Cymru)'!$D$18="Data Cofrestrfa Tir",'Prisiau Tai (Canol. &amp; De-orll)'!E24,'Prisiau Tai (Canol. &amp; De-orll)'!W24)</f>
        <v>114407.18791546972</v>
      </c>
      <c r="AE24" s="4">
        <f>IF('Rhaniad y Ddeiliadaeth (Cymru)'!$D$18="Data Cofrestrfa Tir",'Prisiau Tai (Canol. &amp; De-orll)'!F24,'Prisiau Tai (Canol. &amp; De-orll)'!X24)</f>
        <v>116869.73170615066</v>
      </c>
      <c r="AF24" s="4">
        <f>IF('Rhaniad y Ddeiliadaeth (Cymru)'!$D$18="Data Cofrestrfa Tir",'Prisiau Tai (Canol. &amp; De-orll)'!G24,'Prisiau Tai (Canol. &amp; De-orll)'!Y24)</f>
        <v>121427.55406797021</v>
      </c>
      <c r="AG24" s="4">
        <f>IF('Rhaniad y Ddeiliadaeth (Cymru)'!$D$18="Data Cofrestrfa Tir",'Prisiau Tai (Canol. &amp; De-orll)'!H24,'Prisiau Tai (Canol. &amp; De-orll)'!Z24)</f>
        <v>126464.35977036256</v>
      </c>
    </row>
    <row r="25" spans="2:33" x14ac:dyDescent="0.25">
      <c r="B25" s="20">
        <v>31</v>
      </c>
      <c r="C25" s="56">
        <v>114000</v>
      </c>
      <c r="D25" s="57">
        <f>C25*(1+'Rhaniad y Ddeiliadaeth (C&amp;De-o)'!C$118)</f>
        <v>117238.23672341277</v>
      </c>
      <c r="E25" s="57">
        <f>D25*(1+'Rhaniad y Ddeiliadaeth (C&amp;De-o)'!D$118)</f>
        <v>117499.27407534729</v>
      </c>
      <c r="F25" s="57">
        <f>E25*(1+'Rhaniad y Ddeiliadaeth (C&amp;De-o)'!E$118)</f>
        <v>120028.3731036142</v>
      </c>
      <c r="G25" s="57">
        <f>F25*(1+'Rhaniad y Ddeiliadaeth (C&amp;De-o)'!F$118)</f>
        <v>124709.37985359103</v>
      </c>
      <c r="H25" s="57">
        <f>G25*(1+'Rhaniad y Ddeiliadaeth (C&amp;De-o)'!G$118)</f>
        <v>129882.31543983181</v>
      </c>
      <c r="L25" s="62" t="str">
        <f t="shared" si="0"/>
        <v/>
      </c>
      <c r="M25" s="239"/>
      <c r="N25" s="14">
        <f t="shared" si="3"/>
        <v>1</v>
      </c>
      <c r="T25" s="1">
        <f t="shared" si="1"/>
        <v>31</v>
      </c>
      <c r="U25" s="4" t="str">
        <f t="shared" si="2"/>
        <v/>
      </c>
      <c r="V25" s="4" t="e">
        <f>IF($V$3=$M$3,M25,U25*(1+'Rhaniad y Ddeiliadaeth (Cymru)'!C$118))</f>
        <v>#VALUE!</v>
      </c>
      <c r="W25" s="4" t="e">
        <f>V25*(1+'Rhaniad y Ddeiliadaeth (Cymru)'!D$118)</f>
        <v>#VALUE!</v>
      </c>
      <c r="X25" s="4" t="e">
        <f>W25*(1+'Rhaniad y Ddeiliadaeth (Cymru)'!E$118)</f>
        <v>#VALUE!</v>
      </c>
      <c r="Y25" s="4" t="e">
        <f>X25*(1+'Rhaniad y Ddeiliadaeth (Cymru)'!F$118)</f>
        <v>#VALUE!</v>
      </c>
      <c r="Z25" s="4" t="e">
        <f>Y25*(1+'Rhaniad y Ddeiliadaeth (Cymru)'!G$118)</f>
        <v>#VALUE!</v>
      </c>
      <c r="AB25" s="1">
        <v>31</v>
      </c>
      <c r="AC25" s="4">
        <f>IF('Rhaniad y Ddeiliadaeth (Cymru)'!$D$18="Data Cofrestrfa Tir",'Prisiau Tai (Canol. &amp; De-orll)'!D25,'Prisiau Tai (Canol. &amp; De-orll)'!V25)</f>
        <v>117238.23672341277</v>
      </c>
      <c r="AD25" s="4">
        <f>IF('Rhaniad y Ddeiliadaeth (Cymru)'!$D$18="Data Cofrestrfa Tir",'Prisiau Tai (Canol. &amp; De-orll)'!E25,'Prisiau Tai (Canol. &amp; De-orll)'!W25)</f>
        <v>117499.27407534729</v>
      </c>
      <c r="AE25" s="4">
        <f>IF('Rhaniad y Ddeiliadaeth (Cymru)'!$D$18="Data Cofrestrfa Tir",'Prisiau Tai (Canol. &amp; De-orll)'!F25,'Prisiau Tai (Canol. &amp; De-orll)'!X25)</f>
        <v>120028.3731036142</v>
      </c>
      <c r="AF25" s="4">
        <f>IF('Rhaniad y Ddeiliadaeth (Cymru)'!$D$18="Data Cofrestrfa Tir",'Prisiau Tai (Canol. &amp; De-orll)'!G25,'Prisiau Tai (Canol. &amp; De-orll)'!Y25)</f>
        <v>124709.37985359103</v>
      </c>
      <c r="AG25" s="4">
        <f>IF('Rhaniad y Ddeiliadaeth (Cymru)'!$D$18="Data Cofrestrfa Tir",'Prisiau Tai (Canol. &amp; De-orll)'!H25,'Prisiau Tai (Canol. &amp; De-orll)'!Z25)</f>
        <v>129882.31543983181</v>
      </c>
    </row>
    <row r="26" spans="2:33" x14ac:dyDescent="0.25">
      <c r="B26" s="20">
        <v>32</v>
      </c>
      <c r="C26" s="56">
        <v>115000</v>
      </c>
      <c r="D26" s="57">
        <f>C26*(1+'Rhaniad y Ddeiliadaeth (C&amp;De-o)'!C$118)</f>
        <v>118266.64230870586</v>
      </c>
      <c r="E26" s="57">
        <f>D26*(1+'Rhaniad y Ddeiliadaeth (C&amp;De-o)'!D$118)</f>
        <v>118529.96946197315</v>
      </c>
      <c r="F26" s="57">
        <f>E26*(1+'Rhaniad y Ddeiliadaeth (C&amp;De-o)'!E$118)</f>
        <v>121081.25356943537</v>
      </c>
      <c r="G26" s="57">
        <f>F26*(1+'Rhaniad y Ddeiliadaeth (C&amp;De-o)'!F$118)</f>
        <v>125803.3217821313</v>
      </c>
      <c r="H26" s="57">
        <f>G26*(1+'Rhaniad y Ddeiliadaeth (C&amp;De-o)'!G$118)</f>
        <v>131021.63399632157</v>
      </c>
      <c r="L26" s="62" t="str">
        <f t="shared" si="0"/>
        <v/>
      </c>
      <c r="M26" s="239"/>
      <c r="N26" s="14">
        <f t="shared" si="3"/>
        <v>1</v>
      </c>
      <c r="T26" s="1">
        <f t="shared" si="1"/>
        <v>32</v>
      </c>
      <c r="U26" s="4" t="str">
        <f t="shared" si="2"/>
        <v/>
      </c>
      <c r="V26" s="4" t="e">
        <f>IF($V$3=$M$3,M26,U26*(1+'Rhaniad y Ddeiliadaeth (Cymru)'!C$118))</f>
        <v>#VALUE!</v>
      </c>
      <c r="W26" s="4" t="e">
        <f>V26*(1+'Rhaniad y Ddeiliadaeth (Cymru)'!D$118)</f>
        <v>#VALUE!</v>
      </c>
      <c r="X26" s="4" t="e">
        <f>W26*(1+'Rhaniad y Ddeiliadaeth (Cymru)'!E$118)</f>
        <v>#VALUE!</v>
      </c>
      <c r="Y26" s="4" t="e">
        <f>X26*(1+'Rhaniad y Ddeiliadaeth (Cymru)'!F$118)</f>
        <v>#VALUE!</v>
      </c>
      <c r="Z26" s="4" t="e">
        <f>Y26*(1+'Rhaniad y Ddeiliadaeth (Cymru)'!G$118)</f>
        <v>#VALUE!</v>
      </c>
      <c r="AB26" s="1">
        <v>32</v>
      </c>
      <c r="AC26" s="4">
        <f>IF('Rhaniad y Ddeiliadaeth (Cymru)'!$D$18="Data Cofrestrfa Tir",'Prisiau Tai (Canol. &amp; De-orll)'!D26,'Prisiau Tai (Canol. &amp; De-orll)'!V26)</f>
        <v>118266.64230870586</v>
      </c>
      <c r="AD26" s="4">
        <f>IF('Rhaniad y Ddeiliadaeth (Cymru)'!$D$18="Data Cofrestrfa Tir",'Prisiau Tai (Canol. &amp; De-orll)'!E26,'Prisiau Tai (Canol. &amp; De-orll)'!W26)</f>
        <v>118529.96946197315</v>
      </c>
      <c r="AE26" s="4">
        <f>IF('Rhaniad y Ddeiliadaeth (Cymru)'!$D$18="Data Cofrestrfa Tir",'Prisiau Tai (Canol. &amp; De-orll)'!F26,'Prisiau Tai (Canol. &amp; De-orll)'!X26)</f>
        <v>121081.25356943537</v>
      </c>
      <c r="AF26" s="4">
        <f>IF('Rhaniad y Ddeiliadaeth (Cymru)'!$D$18="Data Cofrestrfa Tir",'Prisiau Tai (Canol. &amp; De-orll)'!G26,'Prisiau Tai (Canol. &amp; De-orll)'!Y26)</f>
        <v>125803.3217821313</v>
      </c>
      <c r="AG26" s="4">
        <f>IF('Rhaniad y Ddeiliadaeth (Cymru)'!$D$18="Data Cofrestrfa Tir",'Prisiau Tai (Canol. &amp; De-orll)'!H26,'Prisiau Tai (Canol. &amp; De-orll)'!Z26)</f>
        <v>131021.63399632157</v>
      </c>
    </row>
    <row r="27" spans="2:33" x14ac:dyDescent="0.25">
      <c r="B27" s="20">
        <v>33</v>
      </c>
      <c r="C27" s="56">
        <v>116000</v>
      </c>
      <c r="D27" s="57">
        <f>C27*(1+'Rhaniad y Ddeiliadaeth (C&amp;De-o)'!C$118)</f>
        <v>119295.04789399896</v>
      </c>
      <c r="E27" s="57">
        <f>D27*(1+'Rhaniad y Ddeiliadaeth (C&amp;De-o)'!D$118)</f>
        <v>119560.66484859899</v>
      </c>
      <c r="F27" s="57">
        <f>E27*(1+'Rhaniad y Ddeiliadaeth (C&amp;De-o)'!E$118)</f>
        <v>122134.13403525655</v>
      </c>
      <c r="G27" s="57">
        <f>F27*(1+'Rhaniad y Ddeiliadaeth (C&amp;De-o)'!F$118)</f>
        <v>126897.26371067157</v>
      </c>
      <c r="H27" s="57">
        <f>G27*(1+'Rhaniad y Ddeiliadaeth (C&amp;De-o)'!G$118)</f>
        <v>132160.95255281133</v>
      </c>
      <c r="L27" s="62" t="str">
        <f t="shared" si="0"/>
        <v/>
      </c>
      <c r="M27" s="239"/>
      <c r="N27" s="14">
        <f t="shared" si="3"/>
        <v>1</v>
      </c>
      <c r="T27" s="1">
        <f t="shared" si="1"/>
        <v>33</v>
      </c>
      <c r="U27" s="4" t="str">
        <f t="shared" si="2"/>
        <v/>
      </c>
      <c r="V27" s="4" t="e">
        <f>IF($V$3=$M$3,M27,U27*(1+'Rhaniad y Ddeiliadaeth (Cymru)'!C$118))</f>
        <v>#VALUE!</v>
      </c>
      <c r="W27" s="4" t="e">
        <f>V27*(1+'Rhaniad y Ddeiliadaeth (Cymru)'!D$118)</f>
        <v>#VALUE!</v>
      </c>
      <c r="X27" s="4" t="e">
        <f>W27*(1+'Rhaniad y Ddeiliadaeth (Cymru)'!E$118)</f>
        <v>#VALUE!</v>
      </c>
      <c r="Y27" s="4" t="e">
        <f>X27*(1+'Rhaniad y Ddeiliadaeth (Cymru)'!F$118)</f>
        <v>#VALUE!</v>
      </c>
      <c r="Z27" s="4" t="e">
        <f>Y27*(1+'Rhaniad y Ddeiliadaeth (Cymru)'!G$118)</f>
        <v>#VALUE!</v>
      </c>
      <c r="AB27" s="1">
        <v>33</v>
      </c>
      <c r="AC27" s="4">
        <f>IF('Rhaniad y Ddeiliadaeth (Cymru)'!$D$18="Data Cofrestrfa Tir",'Prisiau Tai (Canol. &amp; De-orll)'!D27,'Prisiau Tai (Canol. &amp; De-orll)'!V27)</f>
        <v>119295.04789399896</v>
      </c>
      <c r="AD27" s="4">
        <f>IF('Rhaniad y Ddeiliadaeth (Cymru)'!$D$18="Data Cofrestrfa Tir",'Prisiau Tai (Canol. &amp; De-orll)'!E27,'Prisiau Tai (Canol. &amp; De-orll)'!W27)</f>
        <v>119560.66484859899</v>
      </c>
      <c r="AE27" s="4">
        <f>IF('Rhaniad y Ddeiliadaeth (Cymru)'!$D$18="Data Cofrestrfa Tir",'Prisiau Tai (Canol. &amp; De-orll)'!F27,'Prisiau Tai (Canol. &amp; De-orll)'!X27)</f>
        <v>122134.13403525655</v>
      </c>
      <c r="AF27" s="4">
        <f>IF('Rhaniad y Ddeiliadaeth (Cymru)'!$D$18="Data Cofrestrfa Tir",'Prisiau Tai (Canol. &amp; De-orll)'!G27,'Prisiau Tai (Canol. &amp; De-orll)'!Y27)</f>
        <v>126897.26371067157</v>
      </c>
      <c r="AG27" s="4">
        <f>IF('Rhaniad y Ddeiliadaeth (Cymru)'!$D$18="Data Cofrestrfa Tir",'Prisiau Tai (Canol. &amp; De-orll)'!H27,'Prisiau Tai (Canol. &amp; De-orll)'!Z27)</f>
        <v>132160.95255281133</v>
      </c>
    </row>
    <row r="28" spans="2:33" x14ac:dyDescent="0.25">
      <c r="B28" s="20">
        <v>34</v>
      </c>
      <c r="C28" s="56">
        <v>118000</v>
      </c>
      <c r="D28" s="57">
        <f>C28*(1+'Rhaniad y Ddeiliadaeth (C&amp;De-o)'!C$118)</f>
        <v>121351.85906458515</v>
      </c>
      <c r="E28" s="57">
        <f>D28*(1+'Rhaniad y Ddeiliadaeth (C&amp;De-o)'!D$118)</f>
        <v>121622.05562185071</v>
      </c>
      <c r="F28" s="57">
        <f>E28*(1+'Rhaniad y Ddeiliadaeth (C&amp;De-o)'!E$118)</f>
        <v>124239.89496689891</v>
      </c>
      <c r="G28" s="57">
        <f>F28*(1+'Rhaniad y Ddeiliadaeth (C&amp;De-o)'!F$118)</f>
        <v>129085.14756775212</v>
      </c>
      <c r="H28" s="57">
        <f>G28*(1+'Rhaniad y Ddeiliadaeth (C&amp;De-o)'!G$118)</f>
        <v>134439.58966579085</v>
      </c>
      <c r="L28" s="62" t="str">
        <f t="shared" si="0"/>
        <v/>
      </c>
      <c r="M28" s="239"/>
      <c r="N28" s="14">
        <f t="shared" si="3"/>
        <v>1</v>
      </c>
      <c r="T28" s="1">
        <f t="shared" si="1"/>
        <v>34</v>
      </c>
      <c r="U28" s="4" t="str">
        <f t="shared" si="2"/>
        <v/>
      </c>
      <c r="V28" s="4" t="e">
        <f>IF($V$3=$M$3,M28,U28*(1+'Rhaniad y Ddeiliadaeth (Cymru)'!C$118))</f>
        <v>#VALUE!</v>
      </c>
      <c r="W28" s="4" t="e">
        <f>V28*(1+'Rhaniad y Ddeiliadaeth (Cymru)'!D$118)</f>
        <v>#VALUE!</v>
      </c>
      <c r="X28" s="4" t="e">
        <f>W28*(1+'Rhaniad y Ddeiliadaeth (Cymru)'!E$118)</f>
        <v>#VALUE!</v>
      </c>
      <c r="Y28" s="4" t="e">
        <f>X28*(1+'Rhaniad y Ddeiliadaeth (Cymru)'!F$118)</f>
        <v>#VALUE!</v>
      </c>
      <c r="Z28" s="4" t="e">
        <f>Y28*(1+'Rhaniad y Ddeiliadaeth (Cymru)'!G$118)</f>
        <v>#VALUE!</v>
      </c>
      <c r="AB28" s="1">
        <v>34</v>
      </c>
      <c r="AC28" s="4">
        <f>IF('Rhaniad y Ddeiliadaeth (Cymru)'!$D$18="Data Cofrestrfa Tir",'Prisiau Tai (Canol. &amp; De-orll)'!D28,'Prisiau Tai (Canol. &amp; De-orll)'!V28)</f>
        <v>121351.85906458515</v>
      </c>
      <c r="AD28" s="4">
        <f>IF('Rhaniad y Ddeiliadaeth (Cymru)'!$D$18="Data Cofrestrfa Tir",'Prisiau Tai (Canol. &amp; De-orll)'!E28,'Prisiau Tai (Canol. &amp; De-orll)'!W28)</f>
        <v>121622.05562185071</v>
      </c>
      <c r="AE28" s="4">
        <f>IF('Rhaniad y Ddeiliadaeth (Cymru)'!$D$18="Data Cofrestrfa Tir",'Prisiau Tai (Canol. &amp; De-orll)'!F28,'Prisiau Tai (Canol. &amp; De-orll)'!X28)</f>
        <v>124239.89496689891</v>
      </c>
      <c r="AF28" s="4">
        <f>IF('Rhaniad y Ddeiliadaeth (Cymru)'!$D$18="Data Cofrestrfa Tir",'Prisiau Tai (Canol. &amp; De-orll)'!G28,'Prisiau Tai (Canol. &amp; De-orll)'!Y28)</f>
        <v>129085.14756775212</v>
      </c>
      <c r="AG28" s="4">
        <f>IF('Rhaniad y Ddeiliadaeth (Cymru)'!$D$18="Data Cofrestrfa Tir",'Prisiau Tai (Canol. &amp; De-orll)'!H28,'Prisiau Tai (Canol. &amp; De-orll)'!Z28)</f>
        <v>134439.58966579085</v>
      </c>
    </row>
    <row r="29" spans="2:33" x14ac:dyDescent="0.25">
      <c r="B29" s="20">
        <v>35</v>
      </c>
      <c r="C29" s="56">
        <v>120000</v>
      </c>
      <c r="D29" s="57">
        <f>C29*(1+'Rhaniad y Ddeiliadaeth (C&amp;De-o)'!C$118)</f>
        <v>123408.67023517133</v>
      </c>
      <c r="E29" s="57">
        <f>D29*(1+'Rhaniad y Ddeiliadaeth (C&amp;De-o)'!D$118)</f>
        <v>123683.44639510241</v>
      </c>
      <c r="F29" s="57">
        <f>E29*(1+'Rhaniad y Ddeiliadaeth (C&amp;De-o)'!E$118)</f>
        <v>126345.65589854126</v>
      </c>
      <c r="G29" s="57">
        <f>F29*(1+'Rhaniad y Ddeiliadaeth (C&amp;De-o)'!F$118)</f>
        <v>131273.03142483268</v>
      </c>
      <c r="H29" s="57">
        <f>G29*(1+'Rhaniad y Ddeiliadaeth (C&amp;De-o)'!G$118)</f>
        <v>136718.22677877033</v>
      </c>
      <c r="L29" s="62" t="str">
        <f t="shared" si="0"/>
        <v/>
      </c>
      <c r="M29" s="239"/>
      <c r="N29" s="14">
        <f t="shared" si="3"/>
        <v>1</v>
      </c>
      <c r="T29" s="1">
        <f t="shared" si="1"/>
        <v>35</v>
      </c>
      <c r="U29" s="4" t="str">
        <f t="shared" si="2"/>
        <v/>
      </c>
      <c r="V29" s="4" t="e">
        <f>IF($V$3=$M$3,M29,U29*(1+'Rhaniad y Ddeiliadaeth (Cymru)'!C$118))</f>
        <v>#VALUE!</v>
      </c>
      <c r="W29" s="4" t="e">
        <f>V29*(1+'Rhaniad y Ddeiliadaeth (Cymru)'!D$118)</f>
        <v>#VALUE!</v>
      </c>
      <c r="X29" s="4" t="e">
        <f>W29*(1+'Rhaniad y Ddeiliadaeth (Cymru)'!E$118)</f>
        <v>#VALUE!</v>
      </c>
      <c r="Y29" s="4" t="e">
        <f>X29*(1+'Rhaniad y Ddeiliadaeth (Cymru)'!F$118)</f>
        <v>#VALUE!</v>
      </c>
      <c r="Z29" s="4" t="e">
        <f>Y29*(1+'Rhaniad y Ddeiliadaeth (Cymru)'!G$118)</f>
        <v>#VALUE!</v>
      </c>
      <c r="AB29" s="1">
        <v>35</v>
      </c>
      <c r="AC29" s="4">
        <f>IF('Rhaniad y Ddeiliadaeth (Cymru)'!$D$18="Data Cofrestrfa Tir",'Prisiau Tai (Canol. &amp; De-orll)'!D29,'Prisiau Tai (Canol. &amp; De-orll)'!V29)</f>
        <v>123408.67023517133</v>
      </c>
      <c r="AD29" s="4">
        <f>IF('Rhaniad y Ddeiliadaeth (Cymru)'!$D$18="Data Cofrestrfa Tir",'Prisiau Tai (Canol. &amp; De-orll)'!E29,'Prisiau Tai (Canol. &amp; De-orll)'!W29)</f>
        <v>123683.44639510241</v>
      </c>
      <c r="AE29" s="4">
        <f>IF('Rhaniad y Ddeiliadaeth (Cymru)'!$D$18="Data Cofrestrfa Tir",'Prisiau Tai (Canol. &amp; De-orll)'!F29,'Prisiau Tai (Canol. &amp; De-orll)'!X29)</f>
        <v>126345.65589854126</v>
      </c>
      <c r="AF29" s="4">
        <f>IF('Rhaniad y Ddeiliadaeth (Cymru)'!$D$18="Data Cofrestrfa Tir",'Prisiau Tai (Canol. &amp; De-orll)'!G29,'Prisiau Tai (Canol. &amp; De-orll)'!Y29)</f>
        <v>131273.03142483268</v>
      </c>
      <c r="AG29" s="4">
        <f>IF('Rhaniad y Ddeiliadaeth (Cymru)'!$D$18="Data Cofrestrfa Tir",'Prisiau Tai (Canol. &amp; De-orll)'!H29,'Prisiau Tai (Canol. &amp; De-orll)'!Z29)</f>
        <v>136718.22677877033</v>
      </c>
    </row>
    <row r="30" spans="2:33" x14ac:dyDescent="0.25">
      <c r="B30" s="20">
        <v>36</v>
      </c>
      <c r="C30" s="56">
        <v>120000</v>
      </c>
      <c r="D30" s="57">
        <f>C30*(1+'Rhaniad y Ddeiliadaeth (C&amp;De-o)'!C$118)</f>
        <v>123408.67023517133</v>
      </c>
      <c r="E30" s="57">
        <f>D30*(1+'Rhaniad y Ddeiliadaeth (C&amp;De-o)'!D$118)</f>
        <v>123683.44639510241</v>
      </c>
      <c r="F30" s="57">
        <f>E30*(1+'Rhaniad y Ddeiliadaeth (C&amp;De-o)'!E$118)</f>
        <v>126345.65589854126</v>
      </c>
      <c r="G30" s="57">
        <f>F30*(1+'Rhaniad y Ddeiliadaeth (C&amp;De-o)'!F$118)</f>
        <v>131273.03142483268</v>
      </c>
      <c r="H30" s="57">
        <f>G30*(1+'Rhaniad y Ddeiliadaeth (C&amp;De-o)'!G$118)</f>
        <v>136718.22677877033</v>
      </c>
      <c r="L30" s="62" t="str">
        <f t="shared" si="0"/>
        <v/>
      </c>
      <c r="M30" s="239"/>
      <c r="N30" s="14">
        <f t="shared" si="3"/>
        <v>1</v>
      </c>
      <c r="T30" s="1">
        <f t="shared" si="1"/>
        <v>36</v>
      </c>
      <c r="U30" s="4" t="str">
        <f t="shared" si="2"/>
        <v/>
      </c>
      <c r="V30" s="4" t="e">
        <f>IF($V$3=$M$3,M30,U30*(1+'Rhaniad y Ddeiliadaeth (Cymru)'!C$118))</f>
        <v>#VALUE!</v>
      </c>
      <c r="W30" s="4" t="e">
        <f>V30*(1+'Rhaniad y Ddeiliadaeth (Cymru)'!D$118)</f>
        <v>#VALUE!</v>
      </c>
      <c r="X30" s="4" t="e">
        <f>W30*(1+'Rhaniad y Ddeiliadaeth (Cymru)'!E$118)</f>
        <v>#VALUE!</v>
      </c>
      <c r="Y30" s="4" t="e">
        <f>X30*(1+'Rhaniad y Ddeiliadaeth (Cymru)'!F$118)</f>
        <v>#VALUE!</v>
      </c>
      <c r="Z30" s="4" t="e">
        <f>Y30*(1+'Rhaniad y Ddeiliadaeth (Cymru)'!G$118)</f>
        <v>#VALUE!</v>
      </c>
      <c r="AB30" s="1">
        <v>36</v>
      </c>
      <c r="AC30" s="4">
        <f>IF('Rhaniad y Ddeiliadaeth (Cymru)'!$D$18="Data Cofrestrfa Tir",'Prisiau Tai (Canol. &amp; De-orll)'!D30,'Prisiau Tai (Canol. &amp; De-orll)'!V30)</f>
        <v>123408.67023517133</v>
      </c>
      <c r="AD30" s="4">
        <f>IF('Rhaniad y Ddeiliadaeth (Cymru)'!$D$18="Data Cofrestrfa Tir",'Prisiau Tai (Canol. &amp; De-orll)'!E30,'Prisiau Tai (Canol. &amp; De-orll)'!W30)</f>
        <v>123683.44639510241</v>
      </c>
      <c r="AE30" s="4">
        <f>IF('Rhaniad y Ddeiliadaeth (Cymru)'!$D$18="Data Cofrestrfa Tir",'Prisiau Tai (Canol. &amp; De-orll)'!F30,'Prisiau Tai (Canol. &amp; De-orll)'!X30)</f>
        <v>126345.65589854126</v>
      </c>
      <c r="AF30" s="4">
        <f>IF('Rhaniad y Ddeiliadaeth (Cymru)'!$D$18="Data Cofrestrfa Tir",'Prisiau Tai (Canol. &amp; De-orll)'!G30,'Prisiau Tai (Canol. &amp; De-orll)'!Y30)</f>
        <v>131273.03142483268</v>
      </c>
      <c r="AG30" s="4">
        <f>IF('Rhaniad y Ddeiliadaeth (Cymru)'!$D$18="Data Cofrestrfa Tir",'Prisiau Tai (Canol. &amp; De-orll)'!H30,'Prisiau Tai (Canol. &amp; De-orll)'!Z30)</f>
        <v>136718.22677877033</v>
      </c>
    </row>
    <row r="31" spans="2:33" x14ac:dyDescent="0.25">
      <c r="B31" s="20">
        <v>37</v>
      </c>
      <c r="C31" s="56">
        <v>122000</v>
      </c>
      <c r="D31" s="57">
        <f>C31*(1+'Rhaniad y Ddeiliadaeth (C&amp;De-o)'!C$118)</f>
        <v>125465.48140575753</v>
      </c>
      <c r="E31" s="57">
        <f>D31*(1+'Rhaniad y Ddeiliadaeth (C&amp;De-o)'!D$118)</f>
        <v>125744.83716835412</v>
      </c>
      <c r="F31" s="57">
        <f>E31*(1+'Rhaniad y Ddeiliadaeth (C&amp;De-o)'!E$118)</f>
        <v>128451.41683018362</v>
      </c>
      <c r="G31" s="57">
        <f>F31*(1+'Rhaniad y Ddeiliadaeth (C&amp;De-o)'!F$118)</f>
        <v>133460.91528191321</v>
      </c>
      <c r="H31" s="57">
        <f>G31*(1+'Rhaniad y Ddeiliadaeth (C&amp;De-o)'!G$118)</f>
        <v>138996.86389174985</v>
      </c>
      <c r="L31" s="62" t="str">
        <f t="shared" si="0"/>
        <v/>
      </c>
      <c r="M31" s="239"/>
      <c r="N31" s="14">
        <f t="shared" si="3"/>
        <v>1</v>
      </c>
      <c r="T31" s="1">
        <f t="shared" si="1"/>
        <v>37</v>
      </c>
      <c r="U31" s="4" t="str">
        <f t="shared" si="2"/>
        <v/>
      </c>
      <c r="V31" s="4" t="e">
        <f>IF($V$3=$M$3,M31,U31*(1+'Rhaniad y Ddeiliadaeth (Cymru)'!C$118))</f>
        <v>#VALUE!</v>
      </c>
      <c r="W31" s="4" t="e">
        <f>V31*(1+'Rhaniad y Ddeiliadaeth (Cymru)'!D$118)</f>
        <v>#VALUE!</v>
      </c>
      <c r="X31" s="4" t="e">
        <f>W31*(1+'Rhaniad y Ddeiliadaeth (Cymru)'!E$118)</f>
        <v>#VALUE!</v>
      </c>
      <c r="Y31" s="4" t="e">
        <f>X31*(1+'Rhaniad y Ddeiliadaeth (Cymru)'!F$118)</f>
        <v>#VALUE!</v>
      </c>
      <c r="Z31" s="4" t="e">
        <f>Y31*(1+'Rhaniad y Ddeiliadaeth (Cymru)'!G$118)</f>
        <v>#VALUE!</v>
      </c>
      <c r="AB31" s="1">
        <v>37</v>
      </c>
      <c r="AC31" s="4">
        <f>IF('Rhaniad y Ddeiliadaeth (Cymru)'!$D$18="Data Cofrestrfa Tir",'Prisiau Tai (Canol. &amp; De-orll)'!D31,'Prisiau Tai (Canol. &amp; De-orll)'!V31)</f>
        <v>125465.48140575753</v>
      </c>
      <c r="AD31" s="4">
        <f>IF('Rhaniad y Ddeiliadaeth (Cymru)'!$D$18="Data Cofrestrfa Tir",'Prisiau Tai (Canol. &amp; De-orll)'!E31,'Prisiau Tai (Canol. &amp; De-orll)'!W31)</f>
        <v>125744.83716835412</v>
      </c>
      <c r="AE31" s="4">
        <f>IF('Rhaniad y Ddeiliadaeth (Cymru)'!$D$18="Data Cofrestrfa Tir",'Prisiau Tai (Canol. &amp; De-orll)'!F31,'Prisiau Tai (Canol. &amp; De-orll)'!X31)</f>
        <v>128451.41683018362</v>
      </c>
      <c r="AF31" s="4">
        <f>IF('Rhaniad y Ddeiliadaeth (Cymru)'!$D$18="Data Cofrestrfa Tir",'Prisiau Tai (Canol. &amp; De-orll)'!G31,'Prisiau Tai (Canol. &amp; De-orll)'!Y31)</f>
        <v>133460.91528191321</v>
      </c>
      <c r="AG31" s="4">
        <f>IF('Rhaniad y Ddeiliadaeth (Cymru)'!$D$18="Data Cofrestrfa Tir",'Prisiau Tai (Canol. &amp; De-orll)'!H31,'Prisiau Tai (Canol. &amp; De-orll)'!Z31)</f>
        <v>138996.86389174985</v>
      </c>
    </row>
    <row r="32" spans="2:33" x14ac:dyDescent="0.25">
      <c r="B32" s="20">
        <v>38</v>
      </c>
      <c r="C32" s="56">
        <v>124000</v>
      </c>
      <c r="D32" s="57">
        <f>C32*(1+'Rhaniad y Ddeiliadaeth (C&amp;De-o)'!C$118)</f>
        <v>127522.29257634371</v>
      </c>
      <c r="E32" s="57">
        <f>D32*(1+'Rhaniad y Ddeiliadaeth (C&amp;De-o)'!D$118)</f>
        <v>127806.22794160582</v>
      </c>
      <c r="F32" s="57">
        <f>E32*(1+'Rhaniad y Ddeiliadaeth (C&amp;De-o)'!E$118)</f>
        <v>130557.17776182597</v>
      </c>
      <c r="G32" s="57">
        <f>F32*(1+'Rhaniad y Ddeiliadaeth (C&amp;De-o)'!F$118)</f>
        <v>135648.79913899375</v>
      </c>
      <c r="H32" s="57">
        <f>G32*(1+'Rhaniad y Ddeiliadaeth (C&amp;De-o)'!G$118)</f>
        <v>141275.50100472933</v>
      </c>
      <c r="L32" s="62" t="str">
        <f t="shared" si="0"/>
        <v/>
      </c>
      <c r="M32" s="239"/>
      <c r="N32" s="14">
        <f t="shared" si="3"/>
        <v>1</v>
      </c>
      <c r="T32" s="1">
        <f t="shared" si="1"/>
        <v>38</v>
      </c>
      <c r="U32" s="4" t="str">
        <f t="shared" si="2"/>
        <v/>
      </c>
      <c r="V32" s="4" t="e">
        <f>IF($V$3=$M$3,M32,U32*(1+'Rhaniad y Ddeiliadaeth (Cymru)'!C$118))</f>
        <v>#VALUE!</v>
      </c>
      <c r="W32" s="4" t="e">
        <f>V32*(1+'Rhaniad y Ddeiliadaeth (Cymru)'!D$118)</f>
        <v>#VALUE!</v>
      </c>
      <c r="X32" s="4" t="e">
        <f>W32*(1+'Rhaniad y Ddeiliadaeth (Cymru)'!E$118)</f>
        <v>#VALUE!</v>
      </c>
      <c r="Y32" s="4" t="e">
        <f>X32*(1+'Rhaniad y Ddeiliadaeth (Cymru)'!F$118)</f>
        <v>#VALUE!</v>
      </c>
      <c r="Z32" s="4" t="e">
        <f>Y32*(1+'Rhaniad y Ddeiliadaeth (Cymru)'!G$118)</f>
        <v>#VALUE!</v>
      </c>
      <c r="AB32" s="1">
        <v>38</v>
      </c>
      <c r="AC32" s="4">
        <f>IF('Rhaniad y Ddeiliadaeth (Cymru)'!$D$18="Data Cofrestrfa Tir",'Prisiau Tai (Canol. &amp; De-orll)'!D32,'Prisiau Tai (Canol. &amp; De-orll)'!V32)</f>
        <v>127522.29257634371</v>
      </c>
      <c r="AD32" s="4">
        <f>IF('Rhaniad y Ddeiliadaeth (Cymru)'!$D$18="Data Cofrestrfa Tir",'Prisiau Tai (Canol. &amp; De-orll)'!E32,'Prisiau Tai (Canol. &amp; De-orll)'!W32)</f>
        <v>127806.22794160582</v>
      </c>
      <c r="AE32" s="4">
        <f>IF('Rhaniad y Ddeiliadaeth (Cymru)'!$D$18="Data Cofrestrfa Tir",'Prisiau Tai (Canol. &amp; De-orll)'!F32,'Prisiau Tai (Canol. &amp; De-orll)'!X32)</f>
        <v>130557.17776182597</v>
      </c>
      <c r="AF32" s="4">
        <f>IF('Rhaniad y Ddeiliadaeth (Cymru)'!$D$18="Data Cofrestrfa Tir",'Prisiau Tai (Canol. &amp; De-orll)'!G32,'Prisiau Tai (Canol. &amp; De-orll)'!Y32)</f>
        <v>135648.79913899375</v>
      </c>
      <c r="AG32" s="4">
        <f>IF('Rhaniad y Ddeiliadaeth (Cymru)'!$D$18="Data Cofrestrfa Tir",'Prisiau Tai (Canol. &amp; De-orll)'!H32,'Prisiau Tai (Canol. &amp; De-orll)'!Z32)</f>
        <v>141275.50100472933</v>
      </c>
    </row>
    <row r="33" spans="2:33" x14ac:dyDescent="0.25">
      <c r="B33" s="20">
        <v>39</v>
      </c>
      <c r="C33" s="56">
        <v>125000</v>
      </c>
      <c r="D33" s="57">
        <f>C33*(1+'Rhaniad y Ddeiliadaeth (C&amp;De-o)'!C$118)</f>
        <v>128550.6981616368</v>
      </c>
      <c r="E33" s="57">
        <f>D33*(1+'Rhaniad y Ddeiliadaeth (C&amp;De-o)'!D$118)</f>
        <v>128836.92332823167</v>
      </c>
      <c r="F33" s="57">
        <f>E33*(1+'Rhaniad y Ddeiliadaeth (C&amp;De-o)'!E$118)</f>
        <v>131610.05822764715</v>
      </c>
      <c r="G33" s="57">
        <f>F33*(1+'Rhaniad y Ddeiliadaeth (C&amp;De-o)'!F$118)</f>
        <v>136742.74106753402</v>
      </c>
      <c r="H33" s="57">
        <f>G33*(1+'Rhaniad y Ddeiliadaeth (C&amp;De-o)'!G$118)</f>
        <v>142414.8195612191</v>
      </c>
      <c r="L33" s="62" t="str">
        <f t="shared" si="0"/>
        <v/>
      </c>
      <c r="M33" s="239"/>
      <c r="N33" s="14">
        <f t="shared" si="3"/>
        <v>1</v>
      </c>
      <c r="T33" s="1">
        <f t="shared" si="1"/>
        <v>39</v>
      </c>
      <c r="U33" s="4" t="str">
        <f t="shared" si="2"/>
        <v/>
      </c>
      <c r="V33" s="4" t="e">
        <f>IF($V$3=$M$3,M33,U33*(1+'Rhaniad y Ddeiliadaeth (Cymru)'!C$118))</f>
        <v>#VALUE!</v>
      </c>
      <c r="W33" s="4" t="e">
        <f>V33*(1+'Rhaniad y Ddeiliadaeth (Cymru)'!D$118)</f>
        <v>#VALUE!</v>
      </c>
      <c r="X33" s="4" t="e">
        <f>W33*(1+'Rhaniad y Ddeiliadaeth (Cymru)'!E$118)</f>
        <v>#VALUE!</v>
      </c>
      <c r="Y33" s="4" t="e">
        <f>X33*(1+'Rhaniad y Ddeiliadaeth (Cymru)'!F$118)</f>
        <v>#VALUE!</v>
      </c>
      <c r="Z33" s="4" t="e">
        <f>Y33*(1+'Rhaniad y Ddeiliadaeth (Cymru)'!G$118)</f>
        <v>#VALUE!</v>
      </c>
      <c r="AB33" s="1">
        <v>39</v>
      </c>
      <c r="AC33" s="4">
        <f>IF('Rhaniad y Ddeiliadaeth (Cymru)'!$D$18="Data Cofrestrfa Tir",'Prisiau Tai (Canol. &amp; De-orll)'!D33,'Prisiau Tai (Canol. &amp; De-orll)'!V33)</f>
        <v>128550.6981616368</v>
      </c>
      <c r="AD33" s="4">
        <f>IF('Rhaniad y Ddeiliadaeth (Cymru)'!$D$18="Data Cofrestrfa Tir",'Prisiau Tai (Canol. &amp; De-orll)'!E33,'Prisiau Tai (Canol. &amp; De-orll)'!W33)</f>
        <v>128836.92332823167</v>
      </c>
      <c r="AE33" s="4">
        <f>IF('Rhaniad y Ddeiliadaeth (Cymru)'!$D$18="Data Cofrestrfa Tir",'Prisiau Tai (Canol. &amp; De-orll)'!F33,'Prisiau Tai (Canol. &amp; De-orll)'!X33)</f>
        <v>131610.05822764715</v>
      </c>
      <c r="AF33" s="4">
        <f>IF('Rhaniad y Ddeiliadaeth (Cymru)'!$D$18="Data Cofrestrfa Tir",'Prisiau Tai (Canol. &amp; De-orll)'!G33,'Prisiau Tai (Canol. &amp; De-orll)'!Y33)</f>
        <v>136742.74106753402</v>
      </c>
      <c r="AG33" s="4">
        <f>IF('Rhaniad y Ddeiliadaeth (Cymru)'!$D$18="Data Cofrestrfa Tir",'Prisiau Tai (Canol. &amp; De-orll)'!H33,'Prisiau Tai (Canol. &amp; De-orll)'!Z33)</f>
        <v>142414.8195612191</v>
      </c>
    </row>
    <row r="34" spans="2:33" x14ac:dyDescent="0.25">
      <c r="B34" s="20">
        <v>40</v>
      </c>
      <c r="C34" s="56">
        <v>125500</v>
      </c>
      <c r="D34" s="57">
        <f>C34*(1+'Rhaniad y Ddeiliadaeth (C&amp;De-o)'!C$118)</f>
        <v>129064.90095428335</v>
      </c>
      <c r="E34" s="57">
        <f>D34*(1+'Rhaniad y Ddeiliadaeth (C&amp;De-o)'!D$118)</f>
        <v>129352.2710215446</v>
      </c>
      <c r="F34" s="57">
        <f>E34*(1+'Rhaniad y Ddeiliadaeth (C&amp;De-o)'!E$118)</f>
        <v>132136.49846055772</v>
      </c>
      <c r="G34" s="57">
        <f>F34*(1+'Rhaniad y Ddeiliadaeth (C&amp;De-o)'!F$118)</f>
        <v>137289.71203180414</v>
      </c>
      <c r="H34" s="57">
        <f>G34*(1+'Rhaniad y Ddeiliadaeth (C&amp;De-o)'!G$118)</f>
        <v>142984.47883946396</v>
      </c>
      <c r="L34" s="62" t="str">
        <f t="shared" si="0"/>
        <v/>
      </c>
      <c r="M34" s="239"/>
      <c r="N34" s="14">
        <f t="shared" si="3"/>
        <v>1</v>
      </c>
      <c r="T34" s="1">
        <f t="shared" si="1"/>
        <v>40</v>
      </c>
      <c r="U34" s="4" t="str">
        <f t="shared" si="2"/>
        <v/>
      </c>
      <c r="V34" s="4" t="e">
        <f>IF($V$3=$M$3,M34,U34*(1+'Rhaniad y Ddeiliadaeth (Cymru)'!C$118))</f>
        <v>#VALUE!</v>
      </c>
      <c r="W34" s="4" t="e">
        <f>V34*(1+'Rhaniad y Ddeiliadaeth (Cymru)'!D$118)</f>
        <v>#VALUE!</v>
      </c>
      <c r="X34" s="4" t="e">
        <f>W34*(1+'Rhaniad y Ddeiliadaeth (Cymru)'!E$118)</f>
        <v>#VALUE!</v>
      </c>
      <c r="Y34" s="4" t="e">
        <f>X34*(1+'Rhaniad y Ddeiliadaeth (Cymru)'!F$118)</f>
        <v>#VALUE!</v>
      </c>
      <c r="Z34" s="4" t="e">
        <f>Y34*(1+'Rhaniad y Ddeiliadaeth (Cymru)'!G$118)</f>
        <v>#VALUE!</v>
      </c>
      <c r="AB34" s="1">
        <v>40</v>
      </c>
      <c r="AC34" s="4">
        <f>IF('Rhaniad y Ddeiliadaeth (Cymru)'!$D$18="Data Cofrestrfa Tir",'Prisiau Tai (Canol. &amp; De-orll)'!D34,'Prisiau Tai (Canol. &amp; De-orll)'!V34)</f>
        <v>129064.90095428335</v>
      </c>
      <c r="AD34" s="4">
        <f>IF('Rhaniad y Ddeiliadaeth (Cymru)'!$D$18="Data Cofrestrfa Tir",'Prisiau Tai (Canol. &amp; De-orll)'!E34,'Prisiau Tai (Canol. &amp; De-orll)'!W34)</f>
        <v>129352.2710215446</v>
      </c>
      <c r="AE34" s="4">
        <f>IF('Rhaniad y Ddeiliadaeth (Cymru)'!$D$18="Data Cofrestrfa Tir",'Prisiau Tai (Canol. &amp; De-orll)'!F34,'Prisiau Tai (Canol. &amp; De-orll)'!X34)</f>
        <v>132136.49846055772</v>
      </c>
      <c r="AF34" s="4">
        <f>IF('Rhaniad y Ddeiliadaeth (Cymru)'!$D$18="Data Cofrestrfa Tir",'Prisiau Tai (Canol. &amp; De-orll)'!G34,'Prisiau Tai (Canol. &amp; De-orll)'!Y34)</f>
        <v>137289.71203180414</v>
      </c>
      <c r="AG34" s="4">
        <f>IF('Rhaniad y Ddeiliadaeth (Cymru)'!$D$18="Data Cofrestrfa Tir",'Prisiau Tai (Canol. &amp; De-orll)'!H34,'Prisiau Tai (Canol. &amp; De-orll)'!Z34)</f>
        <v>142984.47883946396</v>
      </c>
    </row>
    <row r="35" spans="2:33" x14ac:dyDescent="0.25">
      <c r="B35" s="20">
        <v>41</v>
      </c>
      <c r="C35" s="56">
        <v>127995</v>
      </c>
      <c r="D35" s="57">
        <f>C35*(1+'Rhaniad y Ddeiliadaeth (C&amp;De-o)'!C$118)</f>
        <v>131630.77288958963</v>
      </c>
      <c r="E35" s="57">
        <f>D35*(1+'Rhaniad y Ddeiliadaeth (C&amp;De-o)'!D$118)</f>
        <v>131923.8560111761</v>
      </c>
      <c r="F35" s="57">
        <f>E35*(1+'Rhaniad y Ddeiliadaeth (C&amp;De-o)'!E$118)</f>
        <v>134763.43522278155</v>
      </c>
      <c r="G35" s="57">
        <f>F35*(1+'Rhaniad y Ddeiliadaeth (C&amp;De-o)'!F$118)</f>
        <v>140019.09714351213</v>
      </c>
      <c r="H35" s="57">
        <f>G35*(1+'Rhaniad y Ddeiliadaeth (C&amp;De-o)'!G$118)</f>
        <v>145827.07863790588</v>
      </c>
      <c r="L35" s="62" t="str">
        <f t="shared" si="0"/>
        <v/>
      </c>
      <c r="M35" s="239"/>
      <c r="N35" s="14">
        <f t="shared" si="3"/>
        <v>1</v>
      </c>
      <c r="T35" s="1">
        <f t="shared" si="1"/>
        <v>41</v>
      </c>
      <c r="U35" s="4" t="str">
        <f t="shared" si="2"/>
        <v/>
      </c>
      <c r="V35" s="4" t="e">
        <f>IF($V$3=$M$3,M35,U35*(1+'Rhaniad y Ddeiliadaeth (Cymru)'!C$118))</f>
        <v>#VALUE!</v>
      </c>
      <c r="W35" s="4" t="e">
        <f>V35*(1+'Rhaniad y Ddeiliadaeth (Cymru)'!D$118)</f>
        <v>#VALUE!</v>
      </c>
      <c r="X35" s="4" t="e">
        <f>W35*(1+'Rhaniad y Ddeiliadaeth (Cymru)'!E$118)</f>
        <v>#VALUE!</v>
      </c>
      <c r="Y35" s="4" t="e">
        <f>X35*(1+'Rhaniad y Ddeiliadaeth (Cymru)'!F$118)</f>
        <v>#VALUE!</v>
      </c>
      <c r="Z35" s="4" t="e">
        <f>Y35*(1+'Rhaniad y Ddeiliadaeth (Cymru)'!G$118)</f>
        <v>#VALUE!</v>
      </c>
      <c r="AB35" s="1">
        <v>41</v>
      </c>
      <c r="AC35" s="4">
        <f>IF('Rhaniad y Ddeiliadaeth (Cymru)'!$D$18="Data Cofrestrfa Tir",'Prisiau Tai (Canol. &amp; De-orll)'!D35,'Prisiau Tai (Canol. &amp; De-orll)'!V35)</f>
        <v>131630.77288958963</v>
      </c>
      <c r="AD35" s="4">
        <f>IF('Rhaniad y Ddeiliadaeth (Cymru)'!$D$18="Data Cofrestrfa Tir",'Prisiau Tai (Canol. &amp; De-orll)'!E35,'Prisiau Tai (Canol. &amp; De-orll)'!W35)</f>
        <v>131923.8560111761</v>
      </c>
      <c r="AE35" s="4">
        <f>IF('Rhaniad y Ddeiliadaeth (Cymru)'!$D$18="Data Cofrestrfa Tir",'Prisiau Tai (Canol. &amp; De-orll)'!F35,'Prisiau Tai (Canol. &amp; De-orll)'!X35)</f>
        <v>134763.43522278155</v>
      </c>
      <c r="AF35" s="4">
        <f>IF('Rhaniad y Ddeiliadaeth (Cymru)'!$D$18="Data Cofrestrfa Tir",'Prisiau Tai (Canol. &amp; De-orll)'!G35,'Prisiau Tai (Canol. &amp; De-orll)'!Y35)</f>
        <v>140019.09714351213</v>
      </c>
      <c r="AG35" s="4">
        <f>IF('Rhaniad y Ddeiliadaeth (Cymru)'!$D$18="Data Cofrestrfa Tir",'Prisiau Tai (Canol. &amp; De-orll)'!H35,'Prisiau Tai (Canol. &amp; De-orll)'!Z35)</f>
        <v>145827.07863790588</v>
      </c>
    </row>
    <row r="36" spans="2:33" x14ac:dyDescent="0.25">
      <c r="B36" s="20">
        <v>42</v>
      </c>
      <c r="C36" s="56">
        <v>130000</v>
      </c>
      <c r="D36" s="57">
        <f>C36*(1+'Rhaniad y Ddeiliadaeth (C&amp;De-o)'!C$118)</f>
        <v>133692.72608810227</v>
      </c>
      <c r="E36" s="57">
        <f>D36*(1+'Rhaniad y Ddeiliadaeth (C&amp;De-o)'!D$118)</f>
        <v>133990.40026136092</v>
      </c>
      <c r="F36" s="57">
        <f>E36*(1+'Rhaniad y Ddeiliadaeth (C&amp;De-o)'!E$118)</f>
        <v>136874.46055675301</v>
      </c>
      <c r="G36" s="57">
        <f>F36*(1+'Rhaniad y Ddeiliadaeth (C&amp;De-o)'!F$118)</f>
        <v>142212.45071023537</v>
      </c>
      <c r="H36" s="57">
        <f>G36*(1+'Rhaniad y Ddeiliadaeth (C&amp;De-o)'!G$118)</f>
        <v>148111.41234366785</v>
      </c>
      <c r="L36" s="62" t="str">
        <f t="shared" si="0"/>
        <v/>
      </c>
      <c r="M36" s="239"/>
      <c r="N36" s="14">
        <f t="shared" si="3"/>
        <v>1</v>
      </c>
      <c r="T36" s="1">
        <f t="shared" si="1"/>
        <v>42</v>
      </c>
      <c r="U36" s="4" t="str">
        <f t="shared" si="2"/>
        <v/>
      </c>
      <c r="V36" s="4" t="e">
        <f>IF($V$3=$M$3,M36,U36*(1+'Rhaniad y Ddeiliadaeth (Cymru)'!C$118))</f>
        <v>#VALUE!</v>
      </c>
      <c r="W36" s="4" t="e">
        <f>V36*(1+'Rhaniad y Ddeiliadaeth (Cymru)'!D$118)</f>
        <v>#VALUE!</v>
      </c>
      <c r="X36" s="4" t="e">
        <f>W36*(1+'Rhaniad y Ddeiliadaeth (Cymru)'!E$118)</f>
        <v>#VALUE!</v>
      </c>
      <c r="Y36" s="4" t="e">
        <f>X36*(1+'Rhaniad y Ddeiliadaeth (Cymru)'!F$118)</f>
        <v>#VALUE!</v>
      </c>
      <c r="Z36" s="4" t="e">
        <f>Y36*(1+'Rhaniad y Ddeiliadaeth (Cymru)'!G$118)</f>
        <v>#VALUE!</v>
      </c>
      <c r="AB36" s="1">
        <v>42</v>
      </c>
      <c r="AC36" s="4">
        <f>IF('Rhaniad y Ddeiliadaeth (Cymru)'!$D$18="Data Cofrestrfa Tir",'Prisiau Tai (Canol. &amp; De-orll)'!D36,'Prisiau Tai (Canol. &amp; De-orll)'!V36)</f>
        <v>133692.72608810227</v>
      </c>
      <c r="AD36" s="4">
        <f>IF('Rhaniad y Ddeiliadaeth (Cymru)'!$D$18="Data Cofrestrfa Tir",'Prisiau Tai (Canol. &amp; De-orll)'!E36,'Prisiau Tai (Canol. &amp; De-orll)'!W36)</f>
        <v>133990.40026136092</v>
      </c>
      <c r="AE36" s="4">
        <f>IF('Rhaniad y Ddeiliadaeth (Cymru)'!$D$18="Data Cofrestrfa Tir",'Prisiau Tai (Canol. &amp; De-orll)'!F36,'Prisiau Tai (Canol. &amp; De-orll)'!X36)</f>
        <v>136874.46055675301</v>
      </c>
      <c r="AF36" s="4">
        <f>IF('Rhaniad y Ddeiliadaeth (Cymru)'!$D$18="Data Cofrestrfa Tir",'Prisiau Tai (Canol. &amp; De-orll)'!G36,'Prisiau Tai (Canol. &amp; De-orll)'!Y36)</f>
        <v>142212.45071023537</v>
      </c>
      <c r="AG36" s="4">
        <f>IF('Rhaniad y Ddeiliadaeth (Cymru)'!$D$18="Data Cofrestrfa Tir",'Prisiau Tai (Canol. &amp; De-orll)'!H36,'Prisiau Tai (Canol. &amp; De-orll)'!Z36)</f>
        <v>148111.41234366785</v>
      </c>
    </row>
    <row r="37" spans="2:33" x14ac:dyDescent="0.25">
      <c r="B37" s="20">
        <v>43</v>
      </c>
      <c r="C37" s="56">
        <v>130000</v>
      </c>
      <c r="D37" s="57">
        <f>C37*(1+'Rhaniad y Ddeiliadaeth (C&amp;De-o)'!C$118)</f>
        <v>133692.72608810227</v>
      </c>
      <c r="E37" s="57">
        <f>D37*(1+'Rhaniad y Ddeiliadaeth (C&amp;De-o)'!D$118)</f>
        <v>133990.40026136092</v>
      </c>
      <c r="F37" s="57">
        <f>E37*(1+'Rhaniad y Ddeiliadaeth (C&amp;De-o)'!E$118)</f>
        <v>136874.46055675301</v>
      </c>
      <c r="G37" s="57">
        <f>F37*(1+'Rhaniad y Ddeiliadaeth (C&amp;De-o)'!F$118)</f>
        <v>142212.45071023537</v>
      </c>
      <c r="H37" s="57">
        <f>G37*(1+'Rhaniad y Ddeiliadaeth (C&amp;De-o)'!G$118)</f>
        <v>148111.41234366785</v>
      </c>
      <c r="L37" s="62" t="str">
        <f t="shared" si="0"/>
        <v/>
      </c>
      <c r="M37" s="239"/>
      <c r="N37" s="14">
        <f t="shared" si="3"/>
        <v>1</v>
      </c>
      <c r="T37" s="1">
        <f t="shared" si="1"/>
        <v>43</v>
      </c>
      <c r="U37" s="4" t="str">
        <f t="shared" si="2"/>
        <v/>
      </c>
      <c r="V37" s="4" t="e">
        <f>IF($V$3=$M$3,M37,U37*(1+'Rhaniad y Ddeiliadaeth (Cymru)'!C$118))</f>
        <v>#VALUE!</v>
      </c>
      <c r="W37" s="4" t="e">
        <f>V37*(1+'Rhaniad y Ddeiliadaeth (Cymru)'!D$118)</f>
        <v>#VALUE!</v>
      </c>
      <c r="X37" s="4" t="e">
        <f>W37*(1+'Rhaniad y Ddeiliadaeth (Cymru)'!E$118)</f>
        <v>#VALUE!</v>
      </c>
      <c r="Y37" s="4" t="e">
        <f>X37*(1+'Rhaniad y Ddeiliadaeth (Cymru)'!F$118)</f>
        <v>#VALUE!</v>
      </c>
      <c r="Z37" s="4" t="e">
        <f>Y37*(1+'Rhaniad y Ddeiliadaeth (Cymru)'!G$118)</f>
        <v>#VALUE!</v>
      </c>
      <c r="AB37" s="1">
        <v>43</v>
      </c>
      <c r="AC37" s="4">
        <f>IF('Rhaniad y Ddeiliadaeth (Cymru)'!$D$18="Data Cofrestrfa Tir",'Prisiau Tai (Canol. &amp; De-orll)'!D37,'Prisiau Tai (Canol. &amp; De-orll)'!V37)</f>
        <v>133692.72608810227</v>
      </c>
      <c r="AD37" s="4">
        <f>IF('Rhaniad y Ddeiliadaeth (Cymru)'!$D$18="Data Cofrestrfa Tir",'Prisiau Tai (Canol. &amp; De-orll)'!E37,'Prisiau Tai (Canol. &amp; De-orll)'!W37)</f>
        <v>133990.40026136092</v>
      </c>
      <c r="AE37" s="4">
        <f>IF('Rhaniad y Ddeiliadaeth (Cymru)'!$D$18="Data Cofrestrfa Tir",'Prisiau Tai (Canol. &amp; De-orll)'!F37,'Prisiau Tai (Canol. &amp; De-orll)'!X37)</f>
        <v>136874.46055675301</v>
      </c>
      <c r="AF37" s="4">
        <f>IF('Rhaniad y Ddeiliadaeth (Cymru)'!$D$18="Data Cofrestrfa Tir",'Prisiau Tai (Canol. &amp; De-orll)'!G37,'Prisiau Tai (Canol. &amp; De-orll)'!Y37)</f>
        <v>142212.45071023537</v>
      </c>
      <c r="AG37" s="4">
        <f>IF('Rhaniad y Ddeiliadaeth (Cymru)'!$D$18="Data Cofrestrfa Tir",'Prisiau Tai (Canol. &amp; De-orll)'!H37,'Prisiau Tai (Canol. &amp; De-orll)'!Z37)</f>
        <v>148111.41234366785</v>
      </c>
    </row>
    <row r="38" spans="2:33" x14ac:dyDescent="0.25">
      <c r="B38" s="20">
        <v>44</v>
      </c>
      <c r="C38" s="56">
        <v>133000</v>
      </c>
      <c r="D38" s="57">
        <f>C38*(1+'Rhaniad y Ddeiliadaeth (C&amp;De-o)'!C$118)</f>
        <v>136777.94284398155</v>
      </c>
      <c r="E38" s="57">
        <f>D38*(1+'Rhaniad y Ddeiliadaeth (C&amp;De-o)'!D$118)</f>
        <v>137082.48642123849</v>
      </c>
      <c r="F38" s="57">
        <f>E38*(1+'Rhaniad y Ddeiliadaeth (C&amp;De-o)'!E$118)</f>
        <v>140033.10195421654</v>
      </c>
      <c r="G38" s="57">
        <f>F38*(1+'Rhaniad y Ddeiliadaeth (C&amp;De-o)'!F$118)</f>
        <v>145494.27649585617</v>
      </c>
      <c r="H38" s="57">
        <f>G38*(1+'Rhaniad y Ddeiliadaeth (C&amp;De-o)'!G$118)</f>
        <v>151529.36801313708</v>
      </c>
      <c r="L38" s="62" t="str">
        <f t="shared" si="0"/>
        <v/>
      </c>
      <c r="M38" s="239"/>
      <c r="N38" s="14">
        <f t="shared" si="3"/>
        <v>1</v>
      </c>
      <c r="T38" s="1">
        <f t="shared" si="1"/>
        <v>44</v>
      </c>
      <c r="U38" s="4" t="str">
        <f t="shared" si="2"/>
        <v/>
      </c>
      <c r="V38" s="4" t="e">
        <f>IF($V$3=$M$3,M38,U38*(1+'Rhaniad y Ddeiliadaeth (Cymru)'!C$118))</f>
        <v>#VALUE!</v>
      </c>
      <c r="W38" s="4" t="e">
        <f>V38*(1+'Rhaniad y Ddeiliadaeth (Cymru)'!D$118)</f>
        <v>#VALUE!</v>
      </c>
      <c r="X38" s="4" t="e">
        <f>W38*(1+'Rhaniad y Ddeiliadaeth (Cymru)'!E$118)</f>
        <v>#VALUE!</v>
      </c>
      <c r="Y38" s="4" t="e">
        <f>X38*(1+'Rhaniad y Ddeiliadaeth (Cymru)'!F$118)</f>
        <v>#VALUE!</v>
      </c>
      <c r="Z38" s="4" t="e">
        <f>Y38*(1+'Rhaniad y Ddeiliadaeth (Cymru)'!G$118)</f>
        <v>#VALUE!</v>
      </c>
      <c r="AB38" s="1">
        <v>44</v>
      </c>
      <c r="AC38" s="4">
        <f>IF('Rhaniad y Ddeiliadaeth (Cymru)'!$D$18="Data Cofrestrfa Tir",'Prisiau Tai (Canol. &amp; De-orll)'!D38,'Prisiau Tai (Canol. &amp; De-orll)'!V38)</f>
        <v>136777.94284398155</v>
      </c>
      <c r="AD38" s="4">
        <f>IF('Rhaniad y Ddeiliadaeth (Cymru)'!$D$18="Data Cofrestrfa Tir",'Prisiau Tai (Canol. &amp; De-orll)'!E38,'Prisiau Tai (Canol. &amp; De-orll)'!W38)</f>
        <v>137082.48642123849</v>
      </c>
      <c r="AE38" s="4">
        <f>IF('Rhaniad y Ddeiliadaeth (Cymru)'!$D$18="Data Cofrestrfa Tir",'Prisiau Tai (Canol. &amp; De-orll)'!F38,'Prisiau Tai (Canol. &amp; De-orll)'!X38)</f>
        <v>140033.10195421654</v>
      </c>
      <c r="AF38" s="4">
        <f>IF('Rhaniad y Ddeiliadaeth (Cymru)'!$D$18="Data Cofrestrfa Tir",'Prisiau Tai (Canol. &amp; De-orll)'!G38,'Prisiau Tai (Canol. &amp; De-orll)'!Y38)</f>
        <v>145494.27649585617</v>
      </c>
      <c r="AG38" s="4">
        <f>IF('Rhaniad y Ddeiliadaeth (Cymru)'!$D$18="Data Cofrestrfa Tir",'Prisiau Tai (Canol. &amp; De-orll)'!H38,'Prisiau Tai (Canol. &amp; De-orll)'!Z38)</f>
        <v>151529.36801313708</v>
      </c>
    </row>
    <row r="39" spans="2:33" x14ac:dyDescent="0.25">
      <c r="B39" s="20">
        <v>45</v>
      </c>
      <c r="C39" s="56">
        <v>135000</v>
      </c>
      <c r="D39" s="57">
        <f>C39*(1+'Rhaniad y Ddeiliadaeth (C&amp;De-o)'!C$118)</f>
        <v>138834.75401456776</v>
      </c>
      <c r="E39" s="57">
        <f>D39*(1+'Rhaniad y Ddeiliadaeth (C&amp;De-o)'!D$118)</f>
        <v>139143.87719449023</v>
      </c>
      <c r="F39" s="57">
        <f>E39*(1+'Rhaniad y Ddeiliadaeth (C&amp;De-o)'!E$118)</f>
        <v>142138.86288585892</v>
      </c>
      <c r="G39" s="57">
        <f>F39*(1+'Rhaniad y Ddeiliadaeth (C&amp;De-o)'!F$118)</f>
        <v>147682.16035293674</v>
      </c>
      <c r="H39" s="57">
        <f>G39*(1+'Rhaniad y Ddeiliadaeth (C&amp;De-o)'!G$118)</f>
        <v>153808.00512611662</v>
      </c>
      <c r="L39" s="62" t="str">
        <f t="shared" si="0"/>
        <v/>
      </c>
      <c r="M39" s="239"/>
      <c r="N39" s="14">
        <f t="shared" si="3"/>
        <v>1</v>
      </c>
      <c r="T39" s="1">
        <f t="shared" si="1"/>
        <v>45</v>
      </c>
      <c r="U39" s="4" t="str">
        <f t="shared" si="2"/>
        <v/>
      </c>
      <c r="V39" s="4" t="e">
        <f>IF($V$3=$M$3,M39,U39*(1+'Rhaniad y Ddeiliadaeth (Cymru)'!C$118))</f>
        <v>#VALUE!</v>
      </c>
      <c r="W39" s="4" t="e">
        <f>V39*(1+'Rhaniad y Ddeiliadaeth (Cymru)'!D$118)</f>
        <v>#VALUE!</v>
      </c>
      <c r="X39" s="4" t="e">
        <f>W39*(1+'Rhaniad y Ddeiliadaeth (Cymru)'!E$118)</f>
        <v>#VALUE!</v>
      </c>
      <c r="Y39" s="4" t="e">
        <f>X39*(1+'Rhaniad y Ddeiliadaeth (Cymru)'!F$118)</f>
        <v>#VALUE!</v>
      </c>
      <c r="Z39" s="4" t="e">
        <f>Y39*(1+'Rhaniad y Ddeiliadaeth (Cymru)'!G$118)</f>
        <v>#VALUE!</v>
      </c>
      <c r="AB39" s="1">
        <v>45</v>
      </c>
      <c r="AC39" s="4">
        <f>IF('Rhaniad y Ddeiliadaeth (Cymru)'!$D$18="Data Cofrestrfa Tir",'Prisiau Tai (Canol. &amp; De-orll)'!D39,'Prisiau Tai (Canol. &amp; De-orll)'!V39)</f>
        <v>138834.75401456776</v>
      </c>
      <c r="AD39" s="4">
        <f>IF('Rhaniad y Ddeiliadaeth (Cymru)'!$D$18="Data Cofrestrfa Tir",'Prisiau Tai (Canol. &amp; De-orll)'!E39,'Prisiau Tai (Canol. &amp; De-orll)'!W39)</f>
        <v>139143.87719449023</v>
      </c>
      <c r="AE39" s="4">
        <f>IF('Rhaniad y Ddeiliadaeth (Cymru)'!$D$18="Data Cofrestrfa Tir",'Prisiau Tai (Canol. &amp; De-orll)'!F39,'Prisiau Tai (Canol. &amp; De-orll)'!X39)</f>
        <v>142138.86288585892</v>
      </c>
      <c r="AF39" s="4">
        <f>IF('Rhaniad y Ddeiliadaeth (Cymru)'!$D$18="Data Cofrestrfa Tir",'Prisiau Tai (Canol. &amp; De-orll)'!G39,'Prisiau Tai (Canol. &amp; De-orll)'!Y39)</f>
        <v>147682.16035293674</v>
      </c>
      <c r="AG39" s="4">
        <f>IF('Rhaniad y Ddeiliadaeth (Cymru)'!$D$18="Data Cofrestrfa Tir",'Prisiau Tai (Canol. &amp; De-orll)'!H39,'Prisiau Tai (Canol. &amp; De-orll)'!Z39)</f>
        <v>153808.00512611662</v>
      </c>
    </row>
    <row r="40" spans="2:33" x14ac:dyDescent="0.25">
      <c r="B40" s="20">
        <v>46</v>
      </c>
      <c r="C40" s="56">
        <v>136000</v>
      </c>
      <c r="D40" s="57">
        <f>C40*(1+'Rhaniad y Ddeiliadaeth (C&amp;De-o)'!C$118)</f>
        <v>139863.15959986084</v>
      </c>
      <c r="E40" s="57">
        <f>D40*(1+'Rhaniad y Ddeiliadaeth (C&amp;De-o)'!D$118)</f>
        <v>140174.57258111605</v>
      </c>
      <c r="F40" s="57">
        <f>E40*(1+'Rhaniad y Ddeiliadaeth (C&amp;De-o)'!E$118)</f>
        <v>143191.74335168008</v>
      </c>
      <c r="G40" s="57">
        <f>F40*(1+'Rhaniad y Ddeiliadaeth (C&amp;De-o)'!F$118)</f>
        <v>148776.10228147701</v>
      </c>
      <c r="H40" s="57">
        <f>G40*(1+'Rhaniad y Ddeiliadaeth (C&amp;De-o)'!G$118)</f>
        <v>154947.32368260637</v>
      </c>
      <c r="L40" s="62" t="str">
        <f t="shared" si="0"/>
        <v/>
      </c>
      <c r="M40" s="239"/>
      <c r="N40" s="14">
        <f t="shared" si="3"/>
        <v>1</v>
      </c>
      <c r="T40" s="1">
        <f t="shared" si="1"/>
        <v>46</v>
      </c>
      <c r="U40" s="4" t="str">
        <f t="shared" si="2"/>
        <v/>
      </c>
      <c r="V40" s="4" t="e">
        <f>IF($V$3=$M$3,M40,U40*(1+'Rhaniad y Ddeiliadaeth (Cymru)'!C$118))</f>
        <v>#VALUE!</v>
      </c>
      <c r="W40" s="4" t="e">
        <f>V40*(1+'Rhaniad y Ddeiliadaeth (Cymru)'!D$118)</f>
        <v>#VALUE!</v>
      </c>
      <c r="X40" s="4" t="e">
        <f>W40*(1+'Rhaniad y Ddeiliadaeth (Cymru)'!E$118)</f>
        <v>#VALUE!</v>
      </c>
      <c r="Y40" s="4" t="e">
        <f>X40*(1+'Rhaniad y Ddeiliadaeth (Cymru)'!F$118)</f>
        <v>#VALUE!</v>
      </c>
      <c r="Z40" s="4" t="e">
        <f>Y40*(1+'Rhaniad y Ddeiliadaeth (Cymru)'!G$118)</f>
        <v>#VALUE!</v>
      </c>
      <c r="AB40" s="1">
        <v>46</v>
      </c>
      <c r="AC40" s="4">
        <f>IF('Rhaniad y Ddeiliadaeth (Cymru)'!$D$18="Data Cofrestrfa Tir",'Prisiau Tai (Canol. &amp; De-orll)'!D40,'Prisiau Tai (Canol. &amp; De-orll)'!V40)</f>
        <v>139863.15959986084</v>
      </c>
      <c r="AD40" s="4">
        <f>IF('Rhaniad y Ddeiliadaeth (Cymru)'!$D$18="Data Cofrestrfa Tir",'Prisiau Tai (Canol. &amp; De-orll)'!E40,'Prisiau Tai (Canol. &amp; De-orll)'!W40)</f>
        <v>140174.57258111605</v>
      </c>
      <c r="AE40" s="4">
        <f>IF('Rhaniad y Ddeiliadaeth (Cymru)'!$D$18="Data Cofrestrfa Tir",'Prisiau Tai (Canol. &amp; De-orll)'!F40,'Prisiau Tai (Canol. &amp; De-orll)'!X40)</f>
        <v>143191.74335168008</v>
      </c>
      <c r="AF40" s="4">
        <f>IF('Rhaniad y Ddeiliadaeth (Cymru)'!$D$18="Data Cofrestrfa Tir",'Prisiau Tai (Canol. &amp; De-orll)'!G40,'Prisiau Tai (Canol. &amp; De-orll)'!Y40)</f>
        <v>148776.10228147701</v>
      </c>
      <c r="AG40" s="4">
        <f>IF('Rhaniad y Ddeiliadaeth (Cymru)'!$D$18="Data Cofrestrfa Tir",'Prisiau Tai (Canol. &amp; De-orll)'!H40,'Prisiau Tai (Canol. &amp; De-orll)'!Z40)</f>
        <v>154947.32368260637</v>
      </c>
    </row>
    <row r="41" spans="2:33" x14ac:dyDescent="0.25">
      <c r="B41" s="20">
        <v>47</v>
      </c>
      <c r="C41" s="56">
        <v>138042.77999999997</v>
      </c>
      <c r="D41" s="57">
        <f>C41*(1+'Rhaniad y Ddeiliadaeth (C&amp;De-o)'!C$118)</f>
        <v>141963.96596138584</v>
      </c>
      <c r="E41" s="57">
        <f>D41*(1+'Rhaniad y Ddeiliadaeth (C&amp;De-o)'!D$118)</f>
        <v>142280.0565030076</v>
      </c>
      <c r="F41" s="57">
        <f>E41*(1+'Rhaniad y Ddeiliadaeth (C&amp;De-o)'!E$118)</f>
        <v>145342.54650965024</v>
      </c>
      <c r="G41" s="57">
        <f>F41*(1+'Rhaniad y Ddeiliadaeth (C&amp;De-o)'!F$118)</f>
        <v>151010.78497426049</v>
      </c>
      <c r="H41" s="57">
        <f>G41*(1+'Rhaniad y Ddeiliadaeth (C&amp;De-o)'!G$118)</f>
        <v>157274.70084343248</v>
      </c>
      <c r="L41" s="62" t="str">
        <f t="shared" si="0"/>
        <v/>
      </c>
      <c r="M41" s="239"/>
      <c r="N41" s="14">
        <f t="shared" si="3"/>
        <v>1</v>
      </c>
      <c r="T41" s="1">
        <f t="shared" si="1"/>
        <v>47</v>
      </c>
      <c r="U41" s="4" t="str">
        <f t="shared" si="2"/>
        <v/>
      </c>
      <c r="V41" s="4" t="e">
        <f>IF($V$3=$M$3,M41,U41*(1+'Rhaniad y Ddeiliadaeth (Cymru)'!C$118))</f>
        <v>#VALUE!</v>
      </c>
      <c r="W41" s="4" t="e">
        <f>V41*(1+'Rhaniad y Ddeiliadaeth (Cymru)'!D$118)</f>
        <v>#VALUE!</v>
      </c>
      <c r="X41" s="4" t="e">
        <f>W41*(1+'Rhaniad y Ddeiliadaeth (Cymru)'!E$118)</f>
        <v>#VALUE!</v>
      </c>
      <c r="Y41" s="4" t="e">
        <f>X41*(1+'Rhaniad y Ddeiliadaeth (Cymru)'!F$118)</f>
        <v>#VALUE!</v>
      </c>
      <c r="Z41" s="4" t="e">
        <f>Y41*(1+'Rhaniad y Ddeiliadaeth (Cymru)'!G$118)</f>
        <v>#VALUE!</v>
      </c>
      <c r="AB41" s="1">
        <v>47</v>
      </c>
      <c r="AC41" s="4">
        <f>IF('Rhaniad y Ddeiliadaeth (Cymru)'!$D$18="Data Cofrestrfa Tir",'Prisiau Tai (Canol. &amp; De-orll)'!D41,'Prisiau Tai (Canol. &amp; De-orll)'!V41)</f>
        <v>141963.96596138584</v>
      </c>
      <c r="AD41" s="4">
        <f>IF('Rhaniad y Ddeiliadaeth (Cymru)'!$D$18="Data Cofrestrfa Tir",'Prisiau Tai (Canol. &amp; De-orll)'!E41,'Prisiau Tai (Canol. &amp; De-orll)'!W41)</f>
        <v>142280.0565030076</v>
      </c>
      <c r="AE41" s="4">
        <f>IF('Rhaniad y Ddeiliadaeth (Cymru)'!$D$18="Data Cofrestrfa Tir",'Prisiau Tai (Canol. &amp; De-orll)'!F41,'Prisiau Tai (Canol. &amp; De-orll)'!X41)</f>
        <v>145342.54650965024</v>
      </c>
      <c r="AF41" s="4">
        <f>IF('Rhaniad y Ddeiliadaeth (Cymru)'!$D$18="Data Cofrestrfa Tir",'Prisiau Tai (Canol. &amp; De-orll)'!G41,'Prisiau Tai (Canol. &amp; De-orll)'!Y41)</f>
        <v>151010.78497426049</v>
      </c>
      <c r="AG41" s="4">
        <f>IF('Rhaniad y Ddeiliadaeth (Cymru)'!$D$18="Data Cofrestrfa Tir",'Prisiau Tai (Canol. &amp; De-orll)'!H41,'Prisiau Tai (Canol. &amp; De-orll)'!Z41)</f>
        <v>157274.70084343248</v>
      </c>
    </row>
    <row r="42" spans="2:33" x14ac:dyDescent="0.25">
      <c r="B42" s="20">
        <v>48</v>
      </c>
      <c r="C42" s="56">
        <v>140000</v>
      </c>
      <c r="D42" s="57">
        <f>C42*(1+'Rhaniad y Ddeiliadaeth (C&amp;De-o)'!C$118)</f>
        <v>143976.78194103323</v>
      </c>
      <c r="E42" s="57">
        <f>D42*(1+'Rhaniad y Ddeiliadaeth (C&amp;De-o)'!D$118)</f>
        <v>144297.35412761947</v>
      </c>
      <c r="F42" s="57">
        <f>E42*(1+'Rhaniad y Ddeiliadaeth (C&amp;De-o)'!E$118)</f>
        <v>147403.26521496481</v>
      </c>
      <c r="G42" s="57">
        <f>F42*(1+'Rhaniad y Ddeiliadaeth (C&amp;De-o)'!F$118)</f>
        <v>153151.86999563812</v>
      </c>
      <c r="H42" s="57">
        <f>G42*(1+'Rhaniad y Ddeiliadaeth (C&amp;De-o)'!G$118)</f>
        <v>159504.5979085654</v>
      </c>
      <c r="L42" s="62" t="str">
        <f t="shared" si="0"/>
        <v/>
      </c>
      <c r="M42" s="239"/>
      <c r="N42" s="14">
        <f t="shared" si="3"/>
        <v>1</v>
      </c>
      <c r="T42" s="1">
        <f t="shared" si="1"/>
        <v>48</v>
      </c>
      <c r="U42" s="4" t="str">
        <f t="shared" si="2"/>
        <v/>
      </c>
      <c r="V42" s="4" t="e">
        <f>IF($V$3=$M$3,M42,U42*(1+'Rhaniad y Ddeiliadaeth (Cymru)'!C$118))</f>
        <v>#VALUE!</v>
      </c>
      <c r="W42" s="4" t="e">
        <f>V42*(1+'Rhaniad y Ddeiliadaeth (Cymru)'!D$118)</f>
        <v>#VALUE!</v>
      </c>
      <c r="X42" s="4" t="e">
        <f>W42*(1+'Rhaniad y Ddeiliadaeth (Cymru)'!E$118)</f>
        <v>#VALUE!</v>
      </c>
      <c r="Y42" s="4" t="e">
        <f>X42*(1+'Rhaniad y Ddeiliadaeth (Cymru)'!F$118)</f>
        <v>#VALUE!</v>
      </c>
      <c r="Z42" s="4" t="e">
        <f>Y42*(1+'Rhaniad y Ddeiliadaeth (Cymru)'!G$118)</f>
        <v>#VALUE!</v>
      </c>
      <c r="AB42" s="1">
        <v>48</v>
      </c>
      <c r="AC42" s="4">
        <f>IF('Rhaniad y Ddeiliadaeth (Cymru)'!$D$18="Data Cofrestrfa Tir",'Prisiau Tai (Canol. &amp; De-orll)'!D42,'Prisiau Tai (Canol. &amp; De-orll)'!V42)</f>
        <v>143976.78194103323</v>
      </c>
      <c r="AD42" s="4">
        <f>IF('Rhaniad y Ddeiliadaeth (Cymru)'!$D$18="Data Cofrestrfa Tir",'Prisiau Tai (Canol. &amp; De-orll)'!E42,'Prisiau Tai (Canol. &amp; De-orll)'!W42)</f>
        <v>144297.35412761947</v>
      </c>
      <c r="AE42" s="4">
        <f>IF('Rhaniad y Ddeiliadaeth (Cymru)'!$D$18="Data Cofrestrfa Tir",'Prisiau Tai (Canol. &amp; De-orll)'!F42,'Prisiau Tai (Canol. &amp; De-orll)'!X42)</f>
        <v>147403.26521496481</v>
      </c>
      <c r="AF42" s="4">
        <f>IF('Rhaniad y Ddeiliadaeth (Cymru)'!$D$18="Data Cofrestrfa Tir",'Prisiau Tai (Canol. &amp; De-orll)'!G42,'Prisiau Tai (Canol. &amp; De-orll)'!Y42)</f>
        <v>153151.86999563812</v>
      </c>
      <c r="AG42" s="4">
        <f>IF('Rhaniad y Ddeiliadaeth (Cymru)'!$D$18="Data Cofrestrfa Tir",'Prisiau Tai (Canol. &amp; De-orll)'!H42,'Prisiau Tai (Canol. &amp; De-orll)'!Z42)</f>
        <v>159504.5979085654</v>
      </c>
    </row>
    <row r="43" spans="2:33" x14ac:dyDescent="0.25">
      <c r="B43" s="20">
        <v>49</v>
      </c>
      <c r="C43" s="56">
        <v>141500</v>
      </c>
      <c r="D43" s="57">
        <f>C43*(1+'Rhaniad y Ddeiliadaeth (C&amp;De-o)'!C$118)</f>
        <v>145519.39031897287</v>
      </c>
      <c r="E43" s="57">
        <f>D43*(1+'Rhaniad y Ddeiliadaeth (C&amp;De-o)'!D$118)</f>
        <v>145843.39720755827</v>
      </c>
      <c r="F43" s="57">
        <f>E43*(1+'Rhaniad y Ddeiliadaeth (C&amp;De-o)'!E$118)</f>
        <v>148982.58591369659</v>
      </c>
      <c r="G43" s="57">
        <f>F43*(1+'Rhaniad y Ddeiliadaeth (C&amp;De-o)'!F$118)</f>
        <v>154792.78288844854</v>
      </c>
      <c r="H43" s="57">
        <f>G43*(1+'Rhaniad y Ddeiliadaeth (C&amp;De-o)'!G$118)</f>
        <v>161213.57574330003</v>
      </c>
      <c r="L43" s="62" t="str">
        <f t="shared" si="0"/>
        <v/>
      </c>
      <c r="M43" s="239"/>
      <c r="N43" s="14">
        <f t="shared" si="3"/>
        <v>1</v>
      </c>
      <c r="T43" s="1">
        <f t="shared" si="1"/>
        <v>49</v>
      </c>
      <c r="U43" s="4" t="str">
        <f t="shared" si="2"/>
        <v/>
      </c>
      <c r="V43" s="4" t="e">
        <f>IF($V$3=$M$3,M43,U43*(1+'Rhaniad y Ddeiliadaeth (Cymru)'!C$118))</f>
        <v>#VALUE!</v>
      </c>
      <c r="W43" s="4" t="e">
        <f>V43*(1+'Rhaniad y Ddeiliadaeth (Cymru)'!D$118)</f>
        <v>#VALUE!</v>
      </c>
      <c r="X43" s="4" t="e">
        <f>W43*(1+'Rhaniad y Ddeiliadaeth (Cymru)'!E$118)</f>
        <v>#VALUE!</v>
      </c>
      <c r="Y43" s="4" t="e">
        <f>X43*(1+'Rhaniad y Ddeiliadaeth (Cymru)'!F$118)</f>
        <v>#VALUE!</v>
      </c>
      <c r="Z43" s="4" t="e">
        <f>Y43*(1+'Rhaniad y Ddeiliadaeth (Cymru)'!G$118)</f>
        <v>#VALUE!</v>
      </c>
      <c r="AB43" s="1">
        <v>49</v>
      </c>
      <c r="AC43" s="4">
        <f>IF('Rhaniad y Ddeiliadaeth (Cymru)'!$D$18="Data Cofrestrfa Tir",'Prisiau Tai (Canol. &amp; De-orll)'!D43,'Prisiau Tai (Canol. &amp; De-orll)'!V43)</f>
        <v>145519.39031897287</v>
      </c>
      <c r="AD43" s="4">
        <f>IF('Rhaniad y Ddeiliadaeth (Cymru)'!$D$18="Data Cofrestrfa Tir",'Prisiau Tai (Canol. &amp; De-orll)'!E43,'Prisiau Tai (Canol. &amp; De-orll)'!W43)</f>
        <v>145843.39720755827</v>
      </c>
      <c r="AE43" s="4">
        <f>IF('Rhaniad y Ddeiliadaeth (Cymru)'!$D$18="Data Cofrestrfa Tir",'Prisiau Tai (Canol. &amp; De-orll)'!F43,'Prisiau Tai (Canol. &amp; De-orll)'!X43)</f>
        <v>148982.58591369659</v>
      </c>
      <c r="AF43" s="4">
        <f>IF('Rhaniad y Ddeiliadaeth (Cymru)'!$D$18="Data Cofrestrfa Tir",'Prisiau Tai (Canol. &amp; De-orll)'!G43,'Prisiau Tai (Canol. &amp; De-orll)'!Y43)</f>
        <v>154792.78288844854</v>
      </c>
      <c r="AG43" s="4">
        <f>IF('Rhaniad y Ddeiliadaeth (Cymru)'!$D$18="Data Cofrestrfa Tir",'Prisiau Tai (Canol. &amp; De-orll)'!H43,'Prisiau Tai (Canol. &amp; De-orll)'!Z43)</f>
        <v>161213.57574330003</v>
      </c>
    </row>
    <row r="44" spans="2:33" x14ac:dyDescent="0.25">
      <c r="B44" s="20">
        <v>50</v>
      </c>
      <c r="C44" s="56">
        <v>144000</v>
      </c>
      <c r="D44" s="57">
        <f>C44*(1+'Rhaniad y Ddeiliadaeth (C&amp;De-o)'!C$118)</f>
        <v>148090.40428220559</v>
      </c>
      <c r="E44" s="57">
        <f>D44*(1+'Rhaniad y Ddeiliadaeth (C&amp;De-o)'!D$118)</f>
        <v>148420.13567412287</v>
      </c>
      <c r="F44" s="57">
        <f>E44*(1+'Rhaniad y Ddeiliadaeth (C&amp;De-o)'!E$118)</f>
        <v>151614.78707824947</v>
      </c>
      <c r="G44" s="57">
        <f>F44*(1+'Rhaniad y Ddeiliadaeth (C&amp;De-o)'!F$118)</f>
        <v>157527.63770979916</v>
      </c>
      <c r="H44" s="57">
        <f>G44*(1+'Rhaniad y Ddeiliadaeth (C&amp;De-o)'!G$118)</f>
        <v>164061.87213452437</v>
      </c>
      <c r="L44" s="62" t="str">
        <f t="shared" si="0"/>
        <v/>
      </c>
      <c r="M44" s="239"/>
      <c r="N44" s="14">
        <f t="shared" si="3"/>
        <v>1</v>
      </c>
      <c r="T44" s="1">
        <f t="shared" si="1"/>
        <v>50</v>
      </c>
      <c r="U44" s="4" t="str">
        <f t="shared" si="2"/>
        <v/>
      </c>
      <c r="V44" s="4" t="e">
        <f>IF($V$3=$M$3,M44,U44*(1+'Rhaniad y Ddeiliadaeth (Cymru)'!C$118))</f>
        <v>#VALUE!</v>
      </c>
      <c r="W44" s="4" t="e">
        <f>V44*(1+'Rhaniad y Ddeiliadaeth (Cymru)'!D$118)</f>
        <v>#VALUE!</v>
      </c>
      <c r="X44" s="4" t="e">
        <f>W44*(1+'Rhaniad y Ddeiliadaeth (Cymru)'!E$118)</f>
        <v>#VALUE!</v>
      </c>
      <c r="Y44" s="4" t="e">
        <f>X44*(1+'Rhaniad y Ddeiliadaeth (Cymru)'!F$118)</f>
        <v>#VALUE!</v>
      </c>
      <c r="Z44" s="4" t="e">
        <f>Y44*(1+'Rhaniad y Ddeiliadaeth (Cymru)'!G$118)</f>
        <v>#VALUE!</v>
      </c>
      <c r="AB44" s="1">
        <v>50</v>
      </c>
      <c r="AC44" s="4">
        <f>IF('Rhaniad y Ddeiliadaeth (Cymru)'!$D$18="Data Cofrestrfa Tir",'Prisiau Tai (Canol. &amp; De-orll)'!D44,'Prisiau Tai (Canol. &amp; De-orll)'!V44)</f>
        <v>148090.40428220559</v>
      </c>
      <c r="AD44" s="4">
        <f>IF('Rhaniad y Ddeiliadaeth (Cymru)'!$D$18="Data Cofrestrfa Tir",'Prisiau Tai (Canol. &amp; De-orll)'!E44,'Prisiau Tai (Canol. &amp; De-orll)'!W44)</f>
        <v>148420.13567412287</v>
      </c>
      <c r="AE44" s="4">
        <f>IF('Rhaniad y Ddeiliadaeth (Cymru)'!$D$18="Data Cofrestrfa Tir",'Prisiau Tai (Canol. &amp; De-orll)'!F44,'Prisiau Tai (Canol. &amp; De-orll)'!X44)</f>
        <v>151614.78707824947</v>
      </c>
      <c r="AF44" s="4">
        <f>IF('Rhaniad y Ddeiliadaeth (Cymru)'!$D$18="Data Cofrestrfa Tir",'Prisiau Tai (Canol. &amp; De-orll)'!G44,'Prisiau Tai (Canol. &amp; De-orll)'!Y44)</f>
        <v>157527.63770979916</v>
      </c>
      <c r="AG44" s="4">
        <f>IF('Rhaniad y Ddeiliadaeth (Cymru)'!$D$18="Data Cofrestrfa Tir",'Prisiau Tai (Canol. &amp; De-orll)'!H44,'Prisiau Tai (Canol. &amp; De-orll)'!Z44)</f>
        <v>164061.87213452437</v>
      </c>
    </row>
    <row r="45" spans="2:33" x14ac:dyDescent="0.25">
      <c r="B45" s="20">
        <v>51</v>
      </c>
      <c r="C45" s="56">
        <v>145000</v>
      </c>
      <c r="D45" s="57">
        <f>C45*(1+'Rhaniad y Ddeiliadaeth (C&amp;De-o)'!C$118)</f>
        <v>149118.8098674987</v>
      </c>
      <c r="E45" s="57">
        <f>D45*(1+'Rhaniad y Ddeiliadaeth (C&amp;De-o)'!D$118)</f>
        <v>149450.83106074875</v>
      </c>
      <c r="F45" s="57">
        <f>E45*(1+'Rhaniad y Ddeiliadaeth (C&amp;De-o)'!E$118)</f>
        <v>152667.66754407069</v>
      </c>
      <c r="G45" s="57">
        <f>F45*(1+'Rhaniad y Ddeiliadaeth (C&amp;De-o)'!F$118)</f>
        <v>158621.57963833946</v>
      </c>
      <c r="H45" s="57">
        <f>G45*(1+'Rhaniad y Ddeiliadaeth (C&amp;De-o)'!G$118)</f>
        <v>165201.19069101414</v>
      </c>
      <c r="L45" s="62" t="str">
        <f t="shared" si="0"/>
        <v/>
      </c>
      <c r="M45" s="239"/>
      <c r="N45" s="14">
        <f t="shared" si="3"/>
        <v>1</v>
      </c>
      <c r="T45" s="1">
        <f t="shared" si="1"/>
        <v>51</v>
      </c>
      <c r="U45" s="4" t="str">
        <f t="shared" si="2"/>
        <v/>
      </c>
      <c r="V45" s="4" t="e">
        <f>IF($V$3=$M$3,M45,U45*(1+'Rhaniad y Ddeiliadaeth (Cymru)'!C$118))</f>
        <v>#VALUE!</v>
      </c>
      <c r="W45" s="4" t="e">
        <f>V45*(1+'Rhaniad y Ddeiliadaeth (Cymru)'!D$118)</f>
        <v>#VALUE!</v>
      </c>
      <c r="X45" s="4" t="e">
        <f>W45*(1+'Rhaniad y Ddeiliadaeth (Cymru)'!E$118)</f>
        <v>#VALUE!</v>
      </c>
      <c r="Y45" s="4" t="e">
        <f>X45*(1+'Rhaniad y Ddeiliadaeth (Cymru)'!F$118)</f>
        <v>#VALUE!</v>
      </c>
      <c r="Z45" s="4" t="e">
        <f>Y45*(1+'Rhaniad y Ddeiliadaeth (Cymru)'!G$118)</f>
        <v>#VALUE!</v>
      </c>
      <c r="AB45" s="1">
        <v>51</v>
      </c>
      <c r="AC45" s="4">
        <f>IF('Rhaniad y Ddeiliadaeth (Cymru)'!$D$18="Data Cofrestrfa Tir",'Prisiau Tai (Canol. &amp; De-orll)'!D45,'Prisiau Tai (Canol. &amp; De-orll)'!V45)</f>
        <v>149118.8098674987</v>
      </c>
      <c r="AD45" s="4">
        <f>IF('Rhaniad y Ddeiliadaeth (Cymru)'!$D$18="Data Cofrestrfa Tir",'Prisiau Tai (Canol. &amp; De-orll)'!E45,'Prisiau Tai (Canol. &amp; De-orll)'!W45)</f>
        <v>149450.83106074875</v>
      </c>
      <c r="AE45" s="4">
        <f>IF('Rhaniad y Ddeiliadaeth (Cymru)'!$D$18="Data Cofrestrfa Tir",'Prisiau Tai (Canol. &amp; De-orll)'!F45,'Prisiau Tai (Canol. &amp; De-orll)'!X45)</f>
        <v>152667.66754407069</v>
      </c>
      <c r="AF45" s="4">
        <f>IF('Rhaniad y Ddeiliadaeth (Cymru)'!$D$18="Data Cofrestrfa Tir",'Prisiau Tai (Canol. &amp; De-orll)'!G45,'Prisiau Tai (Canol. &amp; De-orll)'!Y45)</f>
        <v>158621.57963833946</v>
      </c>
      <c r="AG45" s="4">
        <f>IF('Rhaniad y Ddeiliadaeth (Cymru)'!$D$18="Data Cofrestrfa Tir",'Prisiau Tai (Canol. &amp; De-orll)'!H45,'Prisiau Tai (Canol. &amp; De-orll)'!Z45)</f>
        <v>165201.19069101414</v>
      </c>
    </row>
    <row r="46" spans="2:33" x14ac:dyDescent="0.25">
      <c r="B46" s="20">
        <v>52</v>
      </c>
      <c r="C46" s="56">
        <v>147000</v>
      </c>
      <c r="D46" s="57">
        <f>C46*(1+'Rhaniad y Ddeiliadaeth (C&amp;De-o)'!C$118)</f>
        <v>151175.62103808488</v>
      </c>
      <c r="E46" s="57">
        <f>D46*(1+'Rhaniad y Ddeiliadaeth (C&amp;De-o)'!D$118)</f>
        <v>151512.22183400043</v>
      </c>
      <c r="F46" s="57">
        <f>E46*(1+'Rhaniad y Ddeiliadaeth (C&amp;De-o)'!E$118)</f>
        <v>154773.42847571304</v>
      </c>
      <c r="G46" s="57">
        <f>F46*(1+'Rhaniad y Ddeiliadaeth (C&amp;De-o)'!F$118)</f>
        <v>160809.46349542</v>
      </c>
      <c r="H46" s="57">
        <f>G46*(1+'Rhaniad y Ddeiliadaeth (C&amp;De-o)'!G$118)</f>
        <v>167479.82780399366</v>
      </c>
      <c r="L46" s="62" t="str">
        <f t="shared" si="0"/>
        <v/>
      </c>
      <c r="M46" s="239"/>
      <c r="N46" s="14">
        <f t="shared" si="3"/>
        <v>1</v>
      </c>
      <c r="T46" s="1">
        <f t="shared" si="1"/>
        <v>52</v>
      </c>
      <c r="U46" s="4" t="str">
        <f t="shared" si="2"/>
        <v/>
      </c>
      <c r="V46" s="4" t="e">
        <f>IF($V$3=$M$3,M46,U46*(1+'Rhaniad y Ddeiliadaeth (Cymru)'!C$118))</f>
        <v>#VALUE!</v>
      </c>
      <c r="W46" s="4" t="e">
        <f>V46*(1+'Rhaniad y Ddeiliadaeth (Cymru)'!D$118)</f>
        <v>#VALUE!</v>
      </c>
      <c r="X46" s="4" t="e">
        <f>W46*(1+'Rhaniad y Ddeiliadaeth (Cymru)'!E$118)</f>
        <v>#VALUE!</v>
      </c>
      <c r="Y46" s="4" t="e">
        <f>X46*(1+'Rhaniad y Ddeiliadaeth (Cymru)'!F$118)</f>
        <v>#VALUE!</v>
      </c>
      <c r="Z46" s="4" t="e">
        <f>Y46*(1+'Rhaniad y Ddeiliadaeth (Cymru)'!G$118)</f>
        <v>#VALUE!</v>
      </c>
      <c r="AB46" s="1">
        <v>52</v>
      </c>
      <c r="AC46" s="4">
        <f>IF('Rhaniad y Ddeiliadaeth (Cymru)'!$D$18="Data Cofrestrfa Tir",'Prisiau Tai (Canol. &amp; De-orll)'!D46,'Prisiau Tai (Canol. &amp; De-orll)'!V46)</f>
        <v>151175.62103808488</v>
      </c>
      <c r="AD46" s="4">
        <f>IF('Rhaniad y Ddeiliadaeth (Cymru)'!$D$18="Data Cofrestrfa Tir",'Prisiau Tai (Canol. &amp; De-orll)'!E46,'Prisiau Tai (Canol. &amp; De-orll)'!W46)</f>
        <v>151512.22183400043</v>
      </c>
      <c r="AE46" s="4">
        <f>IF('Rhaniad y Ddeiliadaeth (Cymru)'!$D$18="Data Cofrestrfa Tir",'Prisiau Tai (Canol. &amp; De-orll)'!F46,'Prisiau Tai (Canol. &amp; De-orll)'!X46)</f>
        <v>154773.42847571304</v>
      </c>
      <c r="AF46" s="4">
        <f>IF('Rhaniad y Ddeiliadaeth (Cymru)'!$D$18="Data Cofrestrfa Tir",'Prisiau Tai (Canol. &amp; De-orll)'!G46,'Prisiau Tai (Canol. &amp; De-orll)'!Y46)</f>
        <v>160809.46349542</v>
      </c>
      <c r="AG46" s="4">
        <f>IF('Rhaniad y Ddeiliadaeth (Cymru)'!$D$18="Data Cofrestrfa Tir",'Prisiau Tai (Canol. &amp; De-orll)'!H46,'Prisiau Tai (Canol. &amp; De-orll)'!Z46)</f>
        <v>167479.82780399366</v>
      </c>
    </row>
    <row r="47" spans="2:33" x14ac:dyDescent="0.25">
      <c r="B47" s="20">
        <v>53</v>
      </c>
      <c r="C47" s="56">
        <v>149950</v>
      </c>
      <c r="D47" s="57">
        <f>C47*(1+'Rhaniad y Ddeiliadaeth (C&amp;De-o)'!C$118)</f>
        <v>154209.41751469951</v>
      </c>
      <c r="E47" s="57">
        <f>D47*(1+'Rhaniad y Ddeiliadaeth (C&amp;De-o)'!D$118)</f>
        <v>154552.77322454672</v>
      </c>
      <c r="F47" s="57">
        <f>E47*(1+'Rhaniad y Ddeiliadaeth (C&amp;De-o)'!E$118)</f>
        <v>157879.42584988551</v>
      </c>
      <c r="G47" s="57">
        <f>F47*(1+'Rhaniad y Ddeiliadaeth (C&amp;De-o)'!F$118)</f>
        <v>164036.59218461381</v>
      </c>
      <c r="H47" s="57">
        <f>G47*(1+'Rhaniad y Ddeiliadaeth (C&amp;De-o)'!G$118)</f>
        <v>170840.81754563842</v>
      </c>
      <c r="L47" s="62" t="str">
        <f t="shared" si="0"/>
        <v/>
      </c>
      <c r="M47" s="239"/>
      <c r="N47" s="14">
        <f t="shared" si="3"/>
        <v>1</v>
      </c>
      <c r="T47" s="1">
        <f t="shared" si="1"/>
        <v>53</v>
      </c>
      <c r="U47" s="4" t="str">
        <f t="shared" si="2"/>
        <v/>
      </c>
      <c r="V47" s="4" t="e">
        <f>IF($V$3=$M$3,M47,U47*(1+'Rhaniad y Ddeiliadaeth (Cymru)'!C$118))</f>
        <v>#VALUE!</v>
      </c>
      <c r="W47" s="4" t="e">
        <f>V47*(1+'Rhaniad y Ddeiliadaeth (Cymru)'!D$118)</f>
        <v>#VALUE!</v>
      </c>
      <c r="X47" s="4" t="e">
        <f>W47*(1+'Rhaniad y Ddeiliadaeth (Cymru)'!E$118)</f>
        <v>#VALUE!</v>
      </c>
      <c r="Y47" s="4" t="e">
        <f>X47*(1+'Rhaniad y Ddeiliadaeth (Cymru)'!F$118)</f>
        <v>#VALUE!</v>
      </c>
      <c r="Z47" s="4" t="e">
        <f>Y47*(1+'Rhaniad y Ddeiliadaeth (Cymru)'!G$118)</f>
        <v>#VALUE!</v>
      </c>
      <c r="AB47" s="1">
        <v>53</v>
      </c>
      <c r="AC47" s="4">
        <f>IF('Rhaniad y Ddeiliadaeth (Cymru)'!$D$18="Data Cofrestrfa Tir",'Prisiau Tai (Canol. &amp; De-orll)'!D47,'Prisiau Tai (Canol. &amp; De-orll)'!V47)</f>
        <v>154209.41751469951</v>
      </c>
      <c r="AD47" s="4">
        <f>IF('Rhaniad y Ddeiliadaeth (Cymru)'!$D$18="Data Cofrestrfa Tir",'Prisiau Tai (Canol. &amp; De-orll)'!E47,'Prisiau Tai (Canol. &amp; De-orll)'!W47)</f>
        <v>154552.77322454672</v>
      </c>
      <c r="AE47" s="4">
        <f>IF('Rhaniad y Ddeiliadaeth (Cymru)'!$D$18="Data Cofrestrfa Tir",'Prisiau Tai (Canol. &amp; De-orll)'!F47,'Prisiau Tai (Canol. &amp; De-orll)'!X47)</f>
        <v>157879.42584988551</v>
      </c>
      <c r="AF47" s="4">
        <f>IF('Rhaniad y Ddeiliadaeth (Cymru)'!$D$18="Data Cofrestrfa Tir",'Prisiau Tai (Canol. &amp; De-orll)'!G47,'Prisiau Tai (Canol. &amp; De-orll)'!Y47)</f>
        <v>164036.59218461381</v>
      </c>
      <c r="AG47" s="4">
        <f>IF('Rhaniad y Ddeiliadaeth (Cymru)'!$D$18="Data Cofrestrfa Tir",'Prisiau Tai (Canol. &amp; De-orll)'!H47,'Prisiau Tai (Canol. &amp; De-orll)'!Z47)</f>
        <v>170840.81754563842</v>
      </c>
    </row>
    <row r="48" spans="2:33" x14ac:dyDescent="0.25">
      <c r="B48" s="20">
        <v>54</v>
      </c>
      <c r="C48" s="56">
        <v>150000</v>
      </c>
      <c r="D48" s="57">
        <f>C48*(1+'Rhaniad y Ddeiliadaeth (C&amp;De-o)'!C$118)</f>
        <v>154260.83779396417</v>
      </c>
      <c r="E48" s="57">
        <f>D48*(1+'Rhaniad y Ddeiliadaeth (C&amp;De-o)'!D$118)</f>
        <v>154604.307993878</v>
      </c>
      <c r="F48" s="57">
        <f>E48*(1+'Rhaniad y Ddeiliadaeth (C&amp;De-o)'!E$118)</f>
        <v>157932.06987317657</v>
      </c>
      <c r="G48" s="57">
        <f>F48*(1+'Rhaniad y Ddeiliadaeth (C&amp;De-o)'!F$118)</f>
        <v>164091.28928104084</v>
      </c>
      <c r="H48" s="57">
        <f>G48*(1+'Rhaniad y Ddeiliadaeth (C&amp;De-o)'!G$118)</f>
        <v>170897.78347346291</v>
      </c>
      <c r="L48" s="62" t="str">
        <f t="shared" si="0"/>
        <v/>
      </c>
      <c r="M48" s="239"/>
      <c r="N48" s="14">
        <f t="shared" si="3"/>
        <v>1</v>
      </c>
      <c r="T48" s="1">
        <f t="shared" si="1"/>
        <v>54</v>
      </c>
      <c r="U48" s="4" t="str">
        <f t="shared" si="2"/>
        <v/>
      </c>
      <c r="V48" s="4" t="e">
        <f>IF($V$3=$M$3,M48,U48*(1+'Rhaniad y Ddeiliadaeth (Cymru)'!C$118))</f>
        <v>#VALUE!</v>
      </c>
      <c r="W48" s="4" t="e">
        <f>V48*(1+'Rhaniad y Ddeiliadaeth (Cymru)'!D$118)</f>
        <v>#VALUE!</v>
      </c>
      <c r="X48" s="4" t="e">
        <f>W48*(1+'Rhaniad y Ddeiliadaeth (Cymru)'!E$118)</f>
        <v>#VALUE!</v>
      </c>
      <c r="Y48" s="4" t="e">
        <f>X48*(1+'Rhaniad y Ddeiliadaeth (Cymru)'!F$118)</f>
        <v>#VALUE!</v>
      </c>
      <c r="Z48" s="4" t="e">
        <f>Y48*(1+'Rhaniad y Ddeiliadaeth (Cymru)'!G$118)</f>
        <v>#VALUE!</v>
      </c>
      <c r="AB48" s="1">
        <v>54</v>
      </c>
      <c r="AC48" s="4">
        <f>IF('Rhaniad y Ddeiliadaeth (Cymru)'!$D$18="Data Cofrestrfa Tir",'Prisiau Tai (Canol. &amp; De-orll)'!D48,'Prisiau Tai (Canol. &amp; De-orll)'!V48)</f>
        <v>154260.83779396417</v>
      </c>
      <c r="AD48" s="4">
        <f>IF('Rhaniad y Ddeiliadaeth (Cymru)'!$D$18="Data Cofrestrfa Tir",'Prisiau Tai (Canol. &amp; De-orll)'!E48,'Prisiau Tai (Canol. &amp; De-orll)'!W48)</f>
        <v>154604.307993878</v>
      </c>
      <c r="AE48" s="4">
        <f>IF('Rhaniad y Ddeiliadaeth (Cymru)'!$D$18="Data Cofrestrfa Tir",'Prisiau Tai (Canol. &amp; De-orll)'!F48,'Prisiau Tai (Canol. &amp; De-orll)'!X48)</f>
        <v>157932.06987317657</v>
      </c>
      <c r="AF48" s="4">
        <f>IF('Rhaniad y Ddeiliadaeth (Cymru)'!$D$18="Data Cofrestrfa Tir",'Prisiau Tai (Canol. &amp; De-orll)'!G48,'Prisiau Tai (Canol. &amp; De-orll)'!Y48)</f>
        <v>164091.28928104084</v>
      </c>
      <c r="AG48" s="4">
        <f>IF('Rhaniad y Ddeiliadaeth (Cymru)'!$D$18="Data Cofrestrfa Tir",'Prisiau Tai (Canol. &amp; De-orll)'!H48,'Prisiau Tai (Canol. &amp; De-orll)'!Z48)</f>
        <v>170897.78347346291</v>
      </c>
    </row>
    <row r="49" spans="2:33" x14ac:dyDescent="0.25">
      <c r="B49" s="20">
        <v>55</v>
      </c>
      <c r="C49" s="56">
        <v>152500</v>
      </c>
      <c r="D49" s="57">
        <f>C49*(1+'Rhaniad y Ddeiliadaeth (C&amp;De-o)'!C$118)</f>
        <v>156831.85175719691</v>
      </c>
      <c r="E49" s="57">
        <f>D49*(1+'Rhaniad y Ddeiliadaeth (C&amp;De-o)'!D$118)</f>
        <v>157181.04646044265</v>
      </c>
      <c r="F49" s="57">
        <f>E49*(1+'Rhaniad y Ddeiliadaeth (C&amp;De-o)'!E$118)</f>
        <v>160564.27103772952</v>
      </c>
      <c r="G49" s="57">
        <f>F49*(1+'Rhaniad y Ddeiliadaeth (C&amp;De-o)'!F$118)</f>
        <v>166826.1441023915</v>
      </c>
      <c r="H49" s="57">
        <f>G49*(1+'Rhaniad y Ddeiliadaeth (C&amp;De-o)'!G$118)</f>
        <v>173746.07986468729</v>
      </c>
      <c r="L49" s="62" t="str">
        <f t="shared" si="0"/>
        <v/>
      </c>
      <c r="M49" s="239"/>
      <c r="N49" s="14">
        <f t="shared" si="3"/>
        <v>1</v>
      </c>
      <c r="T49" s="1">
        <f t="shared" si="1"/>
        <v>55</v>
      </c>
      <c r="U49" s="4" t="str">
        <f t="shared" si="2"/>
        <v/>
      </c>
      <c r="V49" s="4" t="e">
        <f>IF($V$3=$M$3,M49,U49*(1+'Rhaniad y Ddeiliadaeth (Cymru)'!C$118))</f>
        <v>#VALUE!</v>
      </c>
      <c r="W49" s="4" t="e">
        <f>V49*(1+'Rhaniad y Ddeiliadaeth (Cymru)'!D$118)</f>
        <v>#VALUE!</v>
      </c>
      <c r="X49" s="4" t="e">
        <f>W49*(1+'Rhaniad y Ddeiliadaeth (Cymru)'!E$118)</f>
        <v>#VALUE!</v>
      </c>
      <c r="Y49" s="4" t="e">
        <f>X49*(1+'Rhaniad y Ddeiliadaeth (Cymru)'!F$118)</f>
        <v>#VALUE!</v>
      </c>
      <c r="Z49" s="4" t="e">
        <f>Y49*(1+'Rhaniad y Ddeiliadaeth (Cymru)'!G$118)</f>
        <v>#VALUE!</v>
      </c>
      <c r="AB49" s="1">
        <v>55</v>
      </c>
      <c r="AC49" s="4">
        <f>IF('Rhaniad y Ddeiliadaeth (Cymru)'!$D$18="Data Cofrestrfa Tir",'Prisiau Tai (Canol. &amp; De-orll)'!D49,'Prisiau Tai (Canol. &amp; De-orll)'!V49)</f>
        <v>156831.85175719691</v>
      </c>
      <c r="AD49" s="4">
        <f>IF('Rhaniad y Ddeiliadaeth (Cymru)'!$D$18="Data Cofrestrfa Tir",'Prisiau Tai (Canol. &amp; De-orll)'!E49,'Prisiau Tai (Canol. &amp; De-orll)'!W49)</f>
        <v>157181.04646044265</v>
      </c>
      <c r="AE49" s="4">
        <f>IF('Rhaniad y Ddeiliadaeth (Cymru)'!$D$18="Data Cofrestrfa Tir",'Prisiau Tai (Canol. &amp; De-orll)'!F49,'Prisiau Tai (Canol. &amp; De-orll)'!X49)</f>
        <v>160564.27103772952</v>
      </c>
      <c r="AF49" s="4">
        <f>IF('Rhaniad y Ddeiliadaeth (Cymru)'!$D$18="Data Cofrestrfa Tir",'Prisiau Tai (Canol. &amp; De-orll)'!G49,'Prisiau Tai (Canol. &amp; De-orll)'!Y49)</f>
        <v>166826.1441023915</v>
      </c>
      <c r="AG49" s="4">
        <f>IF('Rhaniad y Ddeiliadaeth (Cymru)'!$D$18="Data Cofrestrfa Tir",'Prisiau Tai (Canol. &amp; De-orll)'!H49,'Prisiau Tai (Canol. &amp; De-orll)'!Z49)</f>
        <v>173746.07986468729</v>
      </c>
    </row>
    <row r="50" spans="2:33" x14ac:dyDescent="0.25">
      <c r="B50" s="20">
        <v>56</v>
      </c>
      <c r="C50" s="56">
        <v>155000</v>
      </c>
      <c r="D50" s="57">
        <f>C50*(1+'Rhaniad y Ddeiliadaeth (C&amp;De-o)'!C$118)</f>
        <v>159402.86572042963</v>
      </c>
      <c r="E50" s="57">
        <f>D50*(1+'Rhaniad y Ddeiliadaeth (C&amp;De-o)'!D$118)</f>
        <v>159757.78492700728</v>
      </c>
      <c r="F50" s="57">
        <f>E50*(1+'Rhaniad y Ddeiliadaeth (C&amp;De-o)'!E$118)</f>
        <v>163196.47220228246</v>
      </c>
      <c r="G50" s="57">
        <f>F50*(1+'Rhaniad y Ddeiliadaeth (C&amp;De-o)'!F$118)</f>
        <v>169560.99892374218</v>
      </c>
      <c r="H50" s="57">
        <f>G50*(1+'Rhaniad y Ddeiliadaeth (C&amp;De-o)'!G$118)</f>
        <v>176594.37625591166</v>
      </c>
      <c r="L50" s="62" t="str">
        <f t="shared" si="0"/>
        <v/>
      </c>
      <c r="M50" s="239"/>
      <c r="N50" s="14">
        <f t="shared" si="3"/>
        <v>1</v>
      </c>
      <c r="T50" s="1">
        <f t="shared" si="1"/>
        <v>56</v>
      </c>
      <c r="U50" s="4" t="str">
        <f t="shared" si="2"/>
        <v/>
      </c>
      <c r="V50" s="4" t="e">
        <f>IF($V$3=$M$3,M50,U50*(1+'Rhaniad y Ddeiliadaeth (Cymru)'!C$118))</f>
        <v>#VALUE!</v>
      </c>
      <c r="W50" s="4" t="e">
        <f>V50*(1+'Rhaniad y Ddeiliadaeth (Cymru)'!D$118)</f>
        <v>#VALUE!</v>
      </c>
      <c r="X50" s="4" t="e">
        <f>W50*(1+'Rhaniad y Ddeiliadaeth (Cymru)'!E$118)</f>
        <v>#VALUE!</v>
      </c>
      <c r="Y50" s="4" t="e">
        <f>X50*(1+'Rhaniad y Ddeiliadaeth (Cymru)'!F$118)</f>
        <v>#VALUE!</v>
      </c>
      <c r="Z50" s="4" t="e">
        <f>Y50*(1+'Rhaniad y Ddeiliadaeth (Cymru)'!G$118)</f>
        <v>#VALUE!</v>
      </c>
      <c r="AB50" s="1">
        <v>56</v>
      </c>
      <c r="AC50" s="4">
        <f>IF('Rhaniad y Ddeiliadaeth (Cymru)'!$D$18="Data Cofrestrfa Tir",'Prisiau Tai (Canol. &amp; De-orll)'!D50,'Prisiau Tai (Canol. &amp; De-orll)'!V50)</f>
        <v>159402.86572042963</v>
      </c>
      <c r="AD50" s="4">
        <f>IF('Rhaniad y Ddeiliadaeth (Cymru)'!$D$18="Data Cofrestrfa Tir",'Prisiau Tai (Canol. &amp; De-orll)'!E50,'Prisiau Tai (Canol. &amp; De-orll)'!W50)</f>
        <v>159757.78492700728</v>
      </c>
      <c r="AE50" s="4">
        <f>IF('Rhaniad y Ddeiliadaeth (Cymru)'!$D$18="Data Cofrestrfa Tir",'Prisiau Tai (Canol. &amp; De-orll)'!F50,'Prisiau Tai (Canol. &amp; De-orll)'!X50)</f>
        <v>163196.47220228246</v>
      </c>
      <c r="AF50" s="4">
        <f>IF('Rhaniad y Ddeiliadaeth (Cymru)'!$D$18="Data Cofrestrfa Tir",'Prisiau Tai (Canol. &amp; De-orll)'!G50,'Prisiau Tai (Canol. &amp; De-orll)'!Y50)</f>
        <v>169560.99892374218</v>
      </c>
      <c r="AG50" s="4">
        <f>IF('Rhaniad y Ddeiliadaeth (Cymru)'!$D$18="Data Cofrestrfa Tir",'Prisiau Tai (Canol. &amp; De-orll)'!H50,'Prisiau Tai (Canol. &amp; De-orll)'!Z50)</f>
        <v>176594.37625591166</v>
      </c>
    </row>
    <row r="51" spans="2:33" x14ac:dyDescent="0.25">
      <c r="B51" s="20">
        <v>57</v>
      </c>
      <c r="C51" s="56">
        <v>157000</v>
      </c>
      <c r="D51" s="57">
        <f>C51*(1+'Rhaniad y Ddeiliadaeth (C&amp;De-o)'!C$118)</f>
        <v>161459.67689101584</v>
      </c>
      <c r="E51" s="57">
        <f>D51*(1+'Rhaniad y Ddeiliadaeth (C&amp;De-o)'!D$118)</f>
        <v>161819.17570025899</v>
      </c>
      <c r="F51" s="57">
        <f>E51*(1+'Rhaniad y Ddeiliadaeth (C&amp;De-o)'!E$118)</f>
        <v>165302.2331339248</v>
      </c>
      <c r="G51" s="57">
        <f>F51*(1+'Rhaniad y Ddeiliadaeth (C&amp;De-o)'!F$118)</f>
        <v>171748.88278082272</v>
      </c>
      <c r="H51" s="57">
        <f>G51*(1+'Rhaniad y Ddeiliadaeth (C&amp;De-o)'!G$118)</f>
        <v>178873.01336889117</v>
      </c>
      <c r="L51" s="62" t="str">
        <f t="shared" si="0"/>
        <v/>
      </c>
      <c r="M51" s="239"/>
      <c r="N51" s="14">
        <f t="shared" si="3"/>
        <v>1</v>
      </c>
      <c r="T51" s="1">
        <f t="shared" si="1"/>
        <v>57</v>
      </c>
      <c r="U51" s="4" t="str">
        <f t="shared" si="2"/>
        <v/>
      </c>
      <c r="V51" s="4" t="e">
        <f>IF($V$3=$M$3,M51,U51*(1+'Rhaniad y Ddeiliadaeth (Cymru)'!C$118))</f>
        <v>#VALUE!</v>
      </c>
      <c r="W51" s="4" t="e">
        <f>V51*(1+'Rhaniad y Ddeiliadaeth (Cymru)'!D$118)</f>
        <v>#VALUE!</v>
      </c>
      <c r="X51" s="4" t="e">
        <f>W51*(1+'Rhaniad y Ddeiliadaeth (Cymru)'!E$118)</f>
        <v>#VALUE!</v>
      </c>
      <c r="Y51" s="4" t="e">
        <f>X51*(1+'Rhaniad y Ddeiliadaeth (Cymru)'!F$118)</f>
        <v>#VALUE!</v>
      </c>
      <c r="Z51" s="4" t="e">
        <f>Y51*(1+'Rhaniad y Ddeiliadaeth (Cymru)'!G$118)</f>
        <v>#VALUE!</v>
      </c>
      <c r="AB51" s="1">
        <v>57</v>
      </c>
      <c r="AC51" s="4">
        <f>IF('Rhaniad y Ddeiliadaeth (Cymru)'!$D$18="Data Cofrestrfa Tir",'Prisiau Tai (Canol. &amp; De-orll)'!D51,'Prisiau Tai (Canol. &amp; De-orll)'!V51)</f>
        <v>161459.67689101584</v>
      </c>
      <c r="AD51" s="4">
        <f>IF('Rhaniad y Ddeiliadaeth (Cymru)'!$D$18="Data Cofrestrfa Tir",'Prisiau Tai (Canol. &amp; De-orll)'!E51,'Prisiau Tai (Canol. &amp; De-orll)'!W51)</f>
        <v>161819.17570025899</v>
      </c>
      <c r="AE51" s="4">
        <f>IF('Rhaniad y Ddeiliadaeth (Cymru)'!$D$18="Data Cofrestrfa Tir",'Prisiau Tai (Canol. &amp; De-orll)'!F51,'Prisiau Tai (Canol. &amp; De-orll)'!X51)</f>
        <v>165302.2331339248</v>
      </c>
      <c r="AF51" s="4">
        <f>IF('Rhaniad y Ddeiliadaeth (Cymru)'!$D$18="Data Cofrestrfa Tir",'Prisiau Tai (Canol. &amp; De-orll)'!G51,'Prisiau Tai (Canol. &amp; De-orll)'!Y51)</f>
        <v>171748.88278082272</v>
      </c>
      <c r="AG51" s="4">
        <f>IF('Rhaniad y Ddeiliadaeth (Cymru)'!$D$18="Data Cofrestrfa Tir",'Prisiau Tai (Canol. &amp; De-orll)'!H51,'Prisiau Tai (Canol. &amp; De-orll)'!Z51)</f>
        <v>178873.01336889117</v>
      </c>
    </row>
    <row r="52" spans="2:33" x14ac:dyDescent="0.25">
      <c r="B52" s="20">
        <v>58</v>
      </c>
      <c r="C52" s="56">
        <v>159500</v>
      </c>
      <c r="D52" s="57">
        <f>C52*(1+'Rhaniad y Ddeiliadaeth (C&amp;De-o)'!C$118)</f>
        <v>164030.69085424856</v>
      </c>
      <c r="E52" s="57">
        <f>D52*(1+'Rhaniad y Ddeiliadaeth (C&amp;De-o)'!D$118)</f>
        <v>164395.91416682361</v>
      </c>
      <c r="F52" s="57">
        <f>E52*(1+'Rhaniad y Ddeiliadaeth (C&amp;De-o)'!E$118)</f>
        <v>167934.43429847775</v>
      </c>
      <c r="G52" s="57">
        <f>F52*(1+'Rhaniad y Ddeiliadaeth (C&amp;De-o)'!F$118)</f>
        <v>174483.73760217341</v>
      </c>
      <c r="H52" s="57">
        <f>G52*(1+'Rhaniad y Ddeiliadaeth (C&amp;De-o)'!G$118)</f>
        <v>181721.30976011555</v>
      </c>
      <c r="L52" s="62" t="str">
        <f t="shared" si="0"/>
        <v/>
      </c>
      <c r="M52" s="239"/>
      <c r="N52" s="14">
        <f t="shared" si="3"/>
        <v>1</v>
      </c>
      <c r="T52" s="1">
        <f t="shared" si="1"/>
        <v>58</v>
      </c>
      <c r="U52" s="4" t="str">
        <f t="shared" si="2"/>
        <v/>
      </c>
      <c r="V52" s="4" t="e">
        <f>IF($V$3=$M$3,M52,U52*(1+'Rhaniad y Ddeiliadaeth (Cymru)'!C$118))</f>
        <v>#VALUE!</v>
      </c>
      <c r="W52" s="4" t="e">
        <f>V52*(1+'Rhaniad y Ddeiliadaeth (Cymru)'!D$118)</f>
        <v>#VALUE!</v>
      </c>
      <c r="X52" s="4" t="e">
        <f>W52*(1+'Rhaniad y Ddeiliadaeth (Cymru)'!E$118)</f>
        <v>#VALUE!</v>
      </c>
      <c r="Y52" s="4" t="e">
        <f>X52*(1+'Rhaniad y Ddeiliadaeth (Cymru)'!F$118)</f>
        <v>#VALUE!</v>
      </c>
      <c r="Z52" s="4" t="e">
        <f>Y52*(1+'Rhaniad y Ddeiliadaeth (Cymru)'!G$118)</f>
        <v>#VALUE!</v>
      </c>
      <c r="AB52" s="1">
        <v>58</v>
      </c>
      <c r="AC52" s="4">
        <f>IF('Rhaniad y Ddeiliadaeth (Cymru)'!$D$18="Data Cofrestrfa Tir",'Prisiau Tai (Canol. &amp; De-orll)'!D52,'Prisiau Tai (Canol. &amp; De-orll)'!V52)</f>
        <v>164030.69085424856</v>
      </c>
      <c r="AD52" s="4">
        <f>IF('Rhaniad y Ddeiliadaeth (Cymru)'!$D$18="Data Cofrestrfa Tir",'Prisiau Tai (Canol. &amp; De-orll)'!E52,'Prisiau Tai (Canol. &amp; De-orll)'!W52)</f>
        <v>164395.91416682361</v>
      </c>
      <c r="AE52" s="4">
        <f>IF('Rhaniad y Ddeiliadaeth (Cymru)'!$D$18="Data Cofrestrfa Tir",'Prisiau Tai (Canol. &amp; De-orll)'!F52,'Prisiau Tai (Canol. &amp; De-orll)'!X52)</f>
        <v>167934.43429847775</v>
      </c>
      <c r="AF52" s="4">
        <f>IF('Rhaniad y Ddeiliadaeth (Cymru)'!$D$18="Data Cofrestrfa Tir",'Prisiau Tai (Canol. &amp; De-orll)'!G52,'Prisiau Tai (Canol. &amp; De-orll)'!Y52)</f>
        <v>174483.73760217341</v>
      </c>
      <c r="AG52" s="4">
        <f>IF('Rhaniad y Ddeiliadaeth (Cymru)'!$D$18="Data Cofrestrfa Tir",'Prisiau Tai (Canol. &amp; De-orll)'!H52,'Prisiau Tai (Canol. &amp; De-orll)'!Z52)</f>
        <v>181721.30976011555</v>
      </c>
    </row>
    <row r="53" spans="2:33" x14ac:dyDescent="0.25">
      <c r="B53" s="20">
        <v>59</v>
      </c>
      <c r="C53" s="56">
        <v>160000</v>
      </c>
      <c r="D53" s="57">
        <f>C53*(1+'Rhaniad y Ddeiliadaeth (C&amp;De-o)'!C$118)</f>
        <v>164544.8936468951</v>
      </c>
      <c r="E53" s="57">
        <f>D53*(1+'Rhaniad y Ddeiliadaeth (C&amp;De-o)'!D$118)</f>
        <v>164911.26186013652</v>
      </c>
      <c r="F53" s="57">
        <f>E53*(1+'Rhaniad y Ddeiliadaeth (C&amp;De-o)'!E$118)</f>
        <v>168460.87453138831</v>
      </c>
      <c r="G53" s="57">
        <f>F53*(1+'Rhaniad y Ddeiliadaeth (C&amp;De-o)'!F$118)</f>
        <v>175030.70856644353</v>
      </c>
      <c r="H53" s="57">
        <f>G53*(1+'Rhaniad y Ddeiliadaeth (C&amp;De-o)'!G$118)</f>
        <v>182290.96903836043</v>
      </c>
      <c r="L53" s="62" t="str">
        <f t="shared" si="0"/>
        <v/>
      </c>
      <c r="M53" s="239"/>
      <c r="N53" s="14">
        <f t="shared" si="3"/>
        <v>1</v>
      </c>
      <c r="T53" s="1">
        <f t="shared" si="1"/>
        <v>59</v>
      </c>
      <c r="U53" s="4" t="str">
        <f t="shared" si="2"/>
        <v/>
      </c>
      <c r="V53" s="4" t="e">
        <f>IF($V$3=$M$3,M53,U53*(1+'Rhaniad y Ddeiliadaeth (Cymru)'!C$118))</f>
        <v>#VALUE!</v>
      </c>
      <c r="W53" s="4" t="e">
        <f>V53*(1+'Rhaniad y Ddeiliadaeth (Cymru)'!D$118)</f>
        <v>#VALUE!</v>
      </c>
      <c r="X53" s="4" t="e">
        <f>W53*(1+'Rhaniad y Ddeiliadaeth (Cymru)'!E$118)</f>
        <v>#VALUE!</v>
      </c>
      <c r="Y53" s="4" t="e">
        <f>X53*(1+'Rhaniad y Ddeiliadaeth (Cymru)'!F$118)</f>
        <v>#VALUE!</v>
      </c>
      <c r="Z53" s="4" t="e">
        <f>Y53*(1+'Rhaniad y Ddeiliadaeth (Cymru)'!G$118)</f>
        <v>#VALUE!</v>
      </c>
      <c r="AB53" s="1">
        <v>59</v>
      </c>
      <c r="AC53" s="4">
        <f>IF('Rhaniad y Ddeiliadaeth (Cymru)'!$D$18="Data Cofrestrfa Tir",'Prisiau Tai (Canol. &amp; De-orll)'!D53,'Prisiau Tai (Canol. &amp; De-orll)'!V53)</f>
        <v>164544.8936468951</v>
      </c>
      <c r="AD53" s="4">
        <f>IF('Rhaniad y Ddeiliadaeth (Cymru)'!$D$18="Data Cofrestrfa Tir",'Prisiau Tai (Canol. &amp; De-orll)'!E53,'Prisiau Tai (Canol. &amp; De-orll)'!W53)</f>
        <v>164911.26186013652</v>
      </c>
      <c r="AE53" s="4">
        <f>IF('Rhaniad y Ddeiliadaeth (Cymru)'!$D$18="Data Cofrestrfa Tir",'Prisiau Tai (Canol. &amp; De-orll)'!F53,'Prisiau Tai (Canol. &amp; De-orll)'!X53)</f>
        <v>168460.87453138831</v>
      </c>
      <c r="AF53" s="4">
        <f>IF('Rhaniad y Ddeiliadaeth (Cymru)'!$D$18="Data Cofrestrfa Tir",'Prisiau Tai (Canol. &amp; De-orll)'!G53,'Prisiau Tai (Canol. &amp; De-orll)'!Y53)</f>
        <v>175030.70856644353</v>
      </c>
      <c r="AG53" s="4">
        <f>IF('Rhaniad y Ddeiliadaeth (Cymru)'!$D$18="Data Cofrestrfa Tir",'Prisiau Tai (Canol. &amp; De-orll)'!H53,'Prisiau Tai (Canol. &amp; De-orll)'!Z53)</f>
        <v>182290.96903836043</v>
      </c>
    </row>
    <row r="54" spans="2:33" x14ac:dyDescent="0.25">
      <c r="B54" s="20">
        <v>60</v>
      </c>
      <c r="C54" s="56">
        <v>162566.39999999964</v>
      </c>
      <c r="D54" s="57">
        <f>C54*(1+'Rhaniad y Ddeiliadaeth (C&amp;De-o)'!C$118)</f>
        <v>167184.19374099094</v>
      </c>
      <c r="E54" s="57">
        <f>D54*(1+'Rhaniad y Ddeiliadaeth (C&amp;De-o)'!D$118)</f>
        <v>167556.43850037278</v>
      </c>
      <c r="F54" s="57">
        <f>E54*(1+'Rhaniad y Ddeiliadaeth (C&amp;De-o)'!E$118)</f>
        <v>171162.98695887145</v>
      </c>
      <c r="G54" s="57">
        <f>F54*(1+'Rhaniad y Ddeiliadaeth (C&amp;De-o)'!F$118)</f>
        <v>177838.20113184894</v>
      </c>
      <c r="H54" s="57">
        <f>G54*(1+'Rhaniad y Ddeiliadaeth (C&amp;De-o)'!G$118)</f>
        <v>185214.91618173537</v>
      </c>
      <c r="L54" s="62" t="str">
        <f t="shared" si="0"/>
        <v/>
      </c>
      <c r="M54" s="239"/>
      <c r="N54" s="14">
        <f t="shared" si="3"/>
        <v>1</v>
      </c>
      <c r="T54" s="1">
        <f t="shared" si="1"/>
        <v>60</v>
      </c>
      <c r="U54" s="4" t="str">
        <f t="shared" si="2"/>
        <v/>
      </c>
      <c r="V54" s="4" t="e">
        <f>IF($V$3=$M$3,M54,U54*(1+'Rhaniad y Ddeiliadaeth (Cymru)'!C$118))</f>
        <v>#VALUE!</v>
      </c>
      <c r="W54" s="4" t="e">
        <f>V54*(1+'Rhaniad y Ddeiliadaeth (Cymru)'!D$118)</f>
        <v>#VALUE!</v>
      </c>
      <c r="X54" s="4" t="e">
        <f>W54*(1+'Rhaniad y Ddeiliadaeth (Cymru)'!E$118)</f>
        <v>#VALUE!</v>
      </c>
      <c r="Y54" s="4" t="e">
        <f>X54*(1+'Rhaniad y Ddeiliadaeth (Cymru)'!F$118)</f>
        <v>#VALUE!</v>
      </c>
      <c r="Z54" s="4" t="e">
        <f>Y54*(1+'Rhaniad y Ddeiliadaeth (Cymru)'!G$118)</f>
        <v>#VALUE!</v>
      </c>
      <c r="AB54" s="1">
        <v>60</v>
      </c>
      <c r="AC54" s="4">
        <f>IF('Rhaniad y Ddeiliadaeth (Cymru)'!$D$18="Data Cofrestrfa Tir",'Prisiau Tai (Canol. &amp; De-orll)'!D54,'Prisiau Tai (Canol. &amp; De-orll)'!V54)</f>
        <v>167184.19374099094</v>
      </c>
      <c r="AD54" s="4">
        <f>IF('Rhaniad y Ddeiliadaeth (Cymru)'!$D$18="Data Cofrestrfa Tir",'Prisiau Tai (Canol. &amp; De-orll)'!E54,'Prisiau Tai (Canol. &amp; De-orll)'!W54)</f>
        <v>167556.43850037278</v>
      </c>
      <c r="AE54" s="4">
        <f>IF('Rhaniad y Ddeiliadaeth (Cymru)'!$D$18="Data Cofrestrfa Tir",'Prisiau Tai (Canol. &amp; De-orll)'!F54,'Prisiau Tai (Canol. &amp; De-orll)'!X54)</f>
        <v>171162.98695887145</v>
      </c>
      <c r="AF54" s="4">
        <f>IF('Rhaniad y Ddeiliadaeth (Cymru)'!$D$18="Data Cofrestrfa Tir",'Prisiau Tai (Canol. &amp; De-orll)'!G54,'Prisiau Tai (Canol. &amp; De-orll)'!Y54)</f>
        <v>177838.20113184894</v>
      </c>
      <c r="AG54" s="4">
        <f>IF('Rhaniad y Ddeiliadaeth (Cymru)'!$D$18="Data Cofrestrfa Tir",'Prisiau Tai (Canol. &amp; De-orll)'!H54,'Prisiau Tai (Canol. &amp; De-orll)'!Z54)</f>
        <v>185214.91618173537</v>
      </c>
    </row>
    <row r="55" spans="2:33" x14ac:dyDescent="0.25">
      <c r="B55" s="20">
        <v>61</v>
      </c>
      <c r="C55" s="56">
        <v>165000</v>
      </c>
      <c r="D55" s="57">
        <f>C55*(1+'Rhaniad y Ddeiliadaeth (C&amp;De-o)'!C$118)</f>
        <v>169686.9215733606</v>
      </c>
      <c r="E55" s="57">
        <f>D55*(1+'Rhaniad y Ddeiliadaeth (C&amp;De-o)'!D$118)</f>
        <v>170064.73879326583</v>
      </c>
      <c r="F55" s="57">
        <f>E55*(1+'Rhaniad y Ddeiliadaeth (C&amp;De-o)'!E$118)</f>
        <v>173725.27686049425</v>
      </c>
      <c r="G55" s="57">
        <f>F55*(1+'Rhaniad y Ddeiliadaeth (C&amp;De-o)'!F$118)</f>
        <v>180500.41820914493</v>
      </c>
      <c r="H55" s="57">
        <f>G55*(1+'Rhaniad y Ddeiliadaeth (C&amp;De-o)'!G$118)</f>
        <v>187987.56182080923</v>
      </c>
      <c r="L55" s="62" t="str">
        <f t="shared" si="0"/>
        <v/>
      </c>
      <c r="M55" s="239"/>
      <c r="N55" s="14">
        <f t="shared" si="3"/>
        <v>1</v>
      </c>
      <c r="T55" s="1">
        <f t="shared" si="1"/>
        <v>61</v>
      </c>
      <c r="U55" s="4" t="str">
        <f t="shared" si="2"/>
        <v/>
      </c>
      <c r="V55" s="4" t="e">
        <f>IF($V$3=$M$3,M55,U55*(1+'Rhaniad y Ddeiliadaeth (Cymru)'!C$118))</f>
        <v>#VALUE!</v>
      </c>
      <c r="W55" s="4" t="e">
        <f>V55*(1+'Rhaniad y Ddeiliadaeth (Cymru)'!D$118)</f>
        <v>#VALUE!</v>
      </c>
      <c r="X55" s="4" t="e">
        <f>W55*(1+'Rhaniad y Ddeiliadaeth (Cymru)'!E$118)</f>
        <v>#VALUE!</v>
      </c>
      <c r="Y55" s="4" t="e">
        <f>X55*(1+'Rhaniad y Ddeiliadaeth (Cymru)'!F$118)</f>
        <v>#VALUE!</v>
      </c>
      <c r="Z55" s="4" t="e">
        <f>Y55*(1+'Rhaniad y Ddeiliadaeth (Cymru)'!G$118)</f>
        <v>#VALUE!</v>
      </c>
      <c r="AB55" s="1">
        <v>61</v>
      </c>
      <c r="AC55" s="4">
        <f>IF('Rhaniad y Ddeiliadaeth (Cymru)'!$D$18="Data Cofrestrfa Tir",'Prisiau Tai (Canol. &amp; De-orll)'!D55,'Prisiau Tai (Canol. &amp; De-orll)'!V55)</f>
        <v>169686.9215733606</v>
      </c>
      <c r="AD55" s="4">
        <f>IF('Rhaniad y Ddeiliadaeth (Cymru)'!$D$18="Data Cofrestrfa Tir",'Prisiau Tai (Canol. &amp; De-orll)'!E55,'Prisiau Tai (Canol. &amp; De-orll)'!W55)</f>
        <v>170064.73879326583</v>
      </c>
      <c r="AE55" s="4">
        <f>IF('Rhaniad y Ddeiliadaeth (Cymru)'!$D$18="Data Cofrestrfa Tir",'Prisiau Tai (Canol. &amp; De-orll)'!F55,'Prisiau Tai (Canol. &amp; De-orll)'!X55)</f>
        <v>173725.27686049425</v>
      </c>
      <c r="AF55" s="4">
        <f>IF('Rhaniad y Ddeiliadaeth (Cymru)'!$D$18="Data Cofrestrfa Tir",'Prisiau Tai (Canol. &amp; De-orll)'!G55,'Prisiau Tai (Canol. &amp; De-orll)'!Y55)</f>
        <v>180500.41820914493</v>
      </c>
      <c r="AG55" s="4">
        <f>IF('Rhaniad y Ddeiliadaeth (Cymru)'!$D$18="Data Cofrestrfa Tir",'Prisiau Tai (Canol. &amp; De-orll)'!H55,'Prisiau Tai (Canol. &amp; De-orll)'!Z55)</f>
        <v>187987.56182080923</v>
      </c>
    </row>
    <row r="56" spans="2:33" x14ac:dyDescent="0.25">
      <c r="B56" s="20">
        <v>62</v>
      </c>
      <c r="C56" s="56">
        <v>167000</v>
      </c>
      <c r="D56" s="57">
        <f>C56*(1+'Rhaniad y Ddeiliadaeth (C&amp;De-o)'!C$118)</f>
        <v>171743.73274394678</v>
      </c>
      <c r="E56" s="57">
        <f>D56*(1+'Rhaniad y Ddeiliadaeth (C&amp;De-o)'!D$118)</f>
        <v>172126.12956651751</v>
      </c>
      <c r="F56" s="57">
        <f>E56*(1+'Rhaniad y Ddeiliadaeth (C&amp;De-o)'!E$118)</f>
        <v>175831.03779213657</v>
      </c>
      <c r="G56" s="57">
        <f>F56*(1+'Rhaniad y Ddeiliadaeth (C&amp;De-o)'!F$118)</f>
        <v>182688.30206622544</v>
      </c>
      <c r="H56" s="57">
        <f>G56*(1+'Rhaniad y Ddeiliadaeth (C&amp;De-o)'!G$118)</f>
        <v>190266.19893378869</v>
      </c>
      <c r="L56" s="62" t="str">
        <f t="shared" si="0"/>
        <v/>
      </c>
      <c r="M56" s="239"/>
      <c r="N56" s="14">
        <f t="shared" si="3"/>
        <v>1</v>
      </c>
      <c r="T56" s="1">
        <f t="shared" si="1"/>
        <v>62</v>
      </c>
      <c r="U56" s="4" t="str">
        <f t="shared" si="2"/>
        <v/>
      </c>
      <c r="V56" s="4" t="e">
        <f>IF($V$3=$M$3,M56,U56*(1+'Rhaniad y Ddeiliadaeth (Cymru)'!C$118))</f>
        <v>#VALUE!</v>
      </c>
      <c r="W56" s="4" t="e">
        <f>V56*(1+'Rhaniad y Ddeiliadaeth (Cymru)'!D$118)</f>
        <v>#VALUE!</v>
      </c>
      <c r="X56" s="4" t="e">
        <f>W56*(1+'Rhaniad y Ddeiliadaeth (Cymru)'!E$118)</f>
        <v>#VALUE!</v>
      </c>
      <c r="Y56" s="4" t="e">
        <f>X56*(1+'Rhaniad y Ddeiliadaeth (Cymru)'!F$118)</f>
        <v>#VALUE!</v>
      </c>
      <c r="Z56" s="4" t="e">
        <f>Y56*(1+'Rhaniad y Ddeiliadaeth (Cymru)'!G$118)</f>
        <v>#VALUE!</v>
      </c>
      <c r="AB56" s="1">
        <v>62</v>
      </c>
      <c r="AC56" s="4">
        <f>IF('Rhaniad y Ddeiliadaeth (Cymru)'!$D$18="Data Cofrestrfa Tir",'Prisiau Tai (Canol. &amp; De-orll)'!D56,'Prisiau Tai (Canol. &amp; De-orll)'!V56)</f>
        <v>171743.73274394678</v>
      </c>
      <c r="AD56" s="4">
        <f>IF('Rhaniad y Ddeiliadaeth (Cymru)'!$D$18="Data Cofrestrfa Tir",'Prisiau Tai (Canol. &amp; De-orll)'!E56,'Prisiau Tai (Canol. &amp; De-orll)'!W56)</f>
        <v>172126.12956651751</v>
      </c>
      <c r="AE56" s="4">
        <f>IF('Rhaniad y Ddeiliadaeth (Cymru)'!$D$18="Data Cofrestrfa Tir",'Prisiau Tai (Canol. &amp; De-orll)'!F56,'Prisiau Tai (Canol. &amp; De-orll)'!X56)</f>
        <v>175831.03779213657</v>
      </c>
      <c r="AF56" s="4">
        <f>IF('Rhaniad y Ddeiliadaeth (Cymru)'!$D$18="Data Cofrestrfa Tir",'Prisiau Tai (Canol. &amp; De-orll)'!G56,'Prisiau Tai (Canol. &amp; De-orll)'!Y56)</f>
        <v>182688.30206622544</v>
      </c>
      <c r="AG56" s="4">
        <f>IF('Rhaniad y Ddeiliadaeth (Cymru)'!$D$18="Data Cofrestrfa Tir",'Prisiau Tai (Canol. &amp; De-orll)'!H56,'Prisiau Tai (Canol. &amp; De-orll)'!Z56)</f>
        <v>190266.19893378869</v>
      </c>
    </row>
    <row r="57" spans="2:33" x14ac:dyDescent="0.25">
      <c r="B57" s="20">
        <v>63</v>
      </c>
      <c r="C57" s="56">
        <v>170000</v>
      </c>
      <c r="D57" s="57">
        <f>C57*(1+'Rhaniad y Ddeiliadaeth (C&amp;De-o)'!C$118)</f>
        <v>174828.94949982606</v>
      </c>
      <c r="E57" s="57">
        <f>D57*(1+'Rhaniad y Ddeiliadaeth (C&amp;De-o)'!D$118)</f>
        <v>175218.21572639508</v>
      </c>
      <c r="F57" s="57">
        <f>E57*(1+'Rhaniad y Ddeiliadaeth (C&amp;De-o)'!E$118)</f>
        <v>178989.67918960011</v>
      </c>
      <c r="G57" s="57">
        <f>F57*(1+'Rhaniad y Ddeiliadaeth (C&amp;De-o)'!F$118)</f>
        <v>185970.12785184628</v>
      </c>
      <c r="H57" s="57">
        <f>G57*(1+'Rhaniad y Ddeiliadaeth (C&amp;De-o)'!G$118)</f>
        <v>193684.15460325798</v>
      </c>
      <c r="L57" s="62" t="str">
        <f t="shared" si="0"/>
        <v/>
      </c>
      <c r="M57" s="239"/>
      <c r="N57" s="14">
        <f t="shared" si="3"/>
        <v>1</v>
      </c>
      <c r="T57" s="1">
        <f t="shared" si="1"/>
        <v>63</v>
      </c>
      <c r="U57" s="4" t="str">
        <f t="shared" si="2"/>
        <v/>
      </c>
      <c r="V57" s="4" t="e">
        <f>IF($V$3=$M$3,M57,U57*(1+'Rhaniad y Ddeiliadaeth (Cymru)'!C$118))</f>
        <v>#VALUE!</v>
      </c>
      <c r="W57" s="4" t="e">
        <f>V57*(1+'Rhaniad y Ddeiliadaeth (Cymru)'!D$118)</f>
        <v>#VALUE!</v>
      </c>
      <c r="X57" s="4" t="e">
        <f>W57*(1+'Rhaniad y Ddeiliadaeth (Cymru)'!E$118)</f>
        <v>#VALUE!</v>
      </c>
      <c r="Y57" s="4" t="e">
        <f>X57*(1+'Rhaniad y Ddeiliadaeth (Cymru)'!F$118)</f>
        <v>#VALUE!</v>
      </c>
      <c r="Z57" s="4" t="e">
        <f>Y57*(1+'Rhaniad y Ddeiliadaeth (Cymru)'!G$118)</f>
        <v>#VALUE!</v>
      </c>
      <c r="AB57" s="1">
        <v>63</v>
      </c>
      <c r="AC57" s="4">
        <f>IF('Rhaniad y Ddeiliadaeth (Cymru)'!$D$18="Data Cofrestrfa Tir",'Prisiau Tai (Canol. &amp; De-orll)'!D57,'Prisiau Tai (Canol. &amp; De-orll)'!V57)</f>
        <v>174828.94949982606</v>
      </c>
      <c r="AD57" s="4">
        <f>IF('Rhaniad y Ddeiliadaeth (Cymru)'!$D$18="Data Cofrestrfa Tir",'Prisiau Tai (Canol. &amp; De-orll)'!E57,'Prisiau Tai (Canol. &amp; De-orll)'!W57)</f>
        <v>175218.21572639508</v>
      </c>
      <c r="AE57" s="4">
        <f>IF('Rhaniad y Ddeiliadaeth (Cymru)'!$D$18="Data Cofrestrfa Tir",'Prisiau Tai (Canol. &amp; De-orll)'!F57,'Prisiau Tai (Canol. &amp; De-orll)'!X57)</f>
        <v>178989.67918960011</v>
      </c>
      <c r="AF57" s="4">
        <f>IF('Rhaniad y Ddeiliadaeth (Cymru)'!$D$18="Data Cofrestrfa Tir",'Prisiau Tai (Canol. &amp; De-orll)'!G57,'Prisiau Tai (Canol. &amp; De-orll)'!Y57)</f>
        <v>185970.12785184628</v>
      </c>
      <c r="AG57" s="4">
        <f>IF('Rhaniad y Ddeiliadaeth (Cymru)'!$D$18="Data Cofrestrfa Tir",'Prisiau Tai (Canol. &amp; De-orll)'!H57,'Prisiau Tai (Canol. &amp; De-orll)'!Z57)</f>
        <v>193684.15460325798</v>
      </c>
    </row>
    <row r="58" spans="2:33" x14ac:dyDescent="0.25">
      <c r="B58" s="20">
        <v>64</v>
      </c>
      <c r="C58" s="56">
        <v>172000</v>
      </c>
      <c r="D58" s="57">
        <f>C58*(1+'Rhaniad y Ddeiliadaeth (C&amp;De-o)'!C$118)</f>
        <v>176885.76067041224</v>
      </c>
      <c r="E58" s="57">
        <f>D58*(1+'Rhaniad y Ddeiliadaeth (C&amp;De-o)'!D$118)</f>
        <v>177279.60649964679</v>
      </c>
      <c r="F58" s="57">
        <f>E58*(1+'Rhaniad y Ddeiliadaeth (C&amp;De-o)'!E$118)</f>
        <v>181095.44012124249</v>
      </c>
      <c r="G58" s="57">
        <f>F58*(1+'Rhaniad y Ddeiliadaeth (C&amp;De-o)'!F$118)</f>
        <v>188158.01170892685</v>
      </c>
      <c r="H58" s="57">
        <f>G58*(1+'Rhaniad y Ddeiliadaeth (C&amp;De-o)'!G$118)</f>
        <v>195962.79171623749</v>
      </c>
      <c r="L58" s="62" t="str">
        <f t="shared" si="0"/>
        <v/>
      </c>
      <c r="M58" s="239"/>
      <c r="N58" s="14">
        <f t="shared" si="3"/>
        <v>1</v>
      </c>
      <c r="T58" s="1">
        <f t="shared" si="1"/>
        <v>64</v>
      </c>
      <c r="U58" s="4" t="str">
        <f t="shared" si="2"/>
        <v/>
      </c>
      <c r="V58" s="4" t="e">
        <f>IF($V$3=$M$3,M58,U58*(1+'Rhaniad y Ddeiliadaeth (Cymru)'!C$118))</f>
        <v>#VALUE!</v>
      </c>
      <c r="W58" s="4" t="e">
        <f>V58*(1+'Rhaniad y Ddeiliadaeth (Cymru)'!D$118)</f>
        <v>#VALUE!</v>
      </c>
      <c r="X58" s="4" t="e">
        <f>W58*(1+'Rhaniad y Ddeiliadaeth (Cymru)'!E$118)</f>
        <v>#VALUE!</v>
      </c>
      <c r="Y58" s="4" t="e">
        <f>X58*(1+'Rhaniad y Ddeiliadaeth (Cymru)'!F$118)</f>
        <v>#VALUE!</v>
      </c>
      <c r="Z58" s="4" t="e">
        <f>Y58*(1+'Rhaniad y Ddeiliadaeth (Cymru)'!G$118)</f>
        <v>#VALUE!</v>
      </c>
      <c r="AB58" s="1">
        <v>64</v>
      </c>
      <c r="AC58" s="4">
        <f>IF('Rhaniad y Ddeiliadaeth (Cymru)'!$D$18="Data Cofrestrfa Tir",'Prisiau Tai (Canol. &amp; De-orll)'!D58,'Prisiau Tai (Canol. &amp; De-orll)'!V58)</f>
        <v>176885.76067041224</v>
      </c>
      <c r="AD58" s="4">
        <f>IF('Rhaniad y Ddeiliadaeth (Cymru)'!$D$18="Data Cofrestrfa Tir",'Prisiau Tai (Canol. &amp; De-orll)'!E58,'Prisiau Tai (Canol. &amp; De-orll)'!W58)</f>
        <v>177279.60649964679</v>
      </c>
      <c r="AE58" s="4">
        <f>IF('Rhaniad y Ddeiliadaeth (Cymru)'!$D$18="Data Cofrestrfa Tir",'Prisiau Tai (Canol. &amp; De-orll)'!F58,'Prisiau Tai (Canol. &amp; De-orll)'!X58)</f>
        <v>181095.44012124249</v>
      </c>
      <c r="AF58" s="4">
        <f>IF('Rhaniad y Ddeiliadaeth (Cymru)'!$D$18="Data Cofrestrfa Tir",'Prisiau Tai (Canol. &amp; De-orll)'!G58,'Prisiau Tai (Canol. &amp; De-orll)'!Y58)</f>
        <v>188158.01170892685</v>
      </c>
      <c r="AG58" s="4">
        <f>IF('Rhaniad y Ddeiliadaeth (Cymru)'!$D$18="Data Cofrestrfa Tir",'Prisiau Tai (Canol. &amp; De-orll)'!H58,'Prisiau Tai (Canol. &amp; De-orll)'!Z58)</f>
        <v>195962.79171623749</v>
      </c>
    </row>
    <row r="59" spans="2:33" x14ac:dyDescent="0.25">
      <c r="B59" s="20">
        <v>65</v>
      </c>
      <c r="C59" s="56">
        <v>175000</v>
      </c>
      <c r="D59" s="57">
        <f>C59*(1+'Rhaniad y Ddeiliadaeth (C&amp;De-o)'!C$118)</f>
        <v>179970.97742629153</v>
      </c>
      <c r="E59" s="57">
        <f>D59*(1+'Rhaniad y Ddeiliadaeth (C&amp;De-o)'!D$118)</f>
        <v>180371.69265952436</v>
      </c>
      <c r="F59" s="57">
        <f>E59*(1+'Rhaniad y Ddeiliadaeth (C&amp;De-o)'!E$118)</f>
        <v>184254.08151870602</v>
      </c>
      <c r="G59" s="57">
        <f>F59*(1+'Rhaniad y Ddeiliadaeth (C&amp;De-o)'!F$118)</f>
        <v>191439.83749454765</v>
      </c>
      <c r="H59" s="57">
        <f>G59*(1+'Rhaniad y Ddeiliadaeth (C&amp;De-o)'!G$118)</f>
        <v>199380.74738570675</v>
      </c>
      <c r="L59" s="62" t="str">
        <f t="shared" si="0"/>
        <v/>
      </c>
      <c r="M59" s="239"/>
      <c r="N59" s="14">
        <f t="shared" si="3"/>
        <v>1</v>
      </c>
      <c r="T59" s="1">
        <f t="shared" si="1"/>
        <v>65</v>
      </c>
      <c r="U59" s="4" t="str">
        <f t="shared" si="2"/>
        <v/>
      </c>
      <c r="V59" s="4" t="e">
        <f>IF($V$3=$M$3,M59,U59*(1+'Rhaniad y Ddeiliadaeth (Cymru)'!C$118))</f>
        <v>#VALUE!</v>
      </c>
      <c r="W59" s="4" t="e">
        <f>V59*(1+'Rhaniad y Ddeiliadaeth (Cymru)'!D$118)</f>
        <v>#VALUE!</v>
      </c>
      <c r="X59" s="4" t="e">
        <f>W59*(1+'Rhaniad y Ddeiliadaeth (Cymru)'!E$118)</f>
        <v>#VALUE!</v>
      </c>
      <c r="Y59" s="4" t="e">
        <f>X59*(1+'Rhaniad y Ddeiliadaeth (Cymru)'!F$118)</f>
        <v>#VALUE!</v>
      </c>
      <c r="Z59" s="4" t="e">
        <f>Y59*(1+'Rhaniad y Ddeiliadaeth (Cymru)'!G$118)</f>
        <v>#VALUE!</v>
      </c>
      <c r="AB59" s="1">
        <v>65</v>
      </c>
      <c r="AC59" s="4">
        <f>IF('Rhaniad y Ddeiliadaeth (Cymru)'!$D$18="Data Cofrestrfa Tir",'Prisiau Tai (Canol. &amp; De-orll)'!D59,'Prisiau Tai (Canol. &amp; De-orll)'!V59)</f>
        <v>179970.97742629153</v>
      </c>
      <c r="AD59" s="4">
        <f>IF('Rhaniad y Ddeiliadaeth (Cymru)'!$D$18="Data Cofrestrfa Tir",'Prisiau Tai (Canol. &amp; De-orll)'!E59,'Prisiau Tai (Canol. &amp; De-orll)'!W59)</f>
        <v>180371.69265952436</v>
      </c>
      <c r="AE59" s="4">
        <f>IF('Rhaniad y Ddeiliadaeth (Cymru)'!$D$18="Data Cofrestrfa Tir",'Prisiau Tai (Canol. &amp; De-orll)'!F59,'Prisiau Tai (Canol. &amp; De-orll)'!X59)</f>
        <v>184254.08151870602</v>
      </c>
      <c r="AF59" s="4">
        <f>IF('Rhaniad y Ddeiliadaeth (Cymru)'!$D$18="Data Cofrestrfa Tir",'Prisiau Tai (Canol. &amp; De-orll)'!G59,'Prisiau Tai (Canol. &amp; De-orll)'!Y59)</f>
        <v>191439.83749454765</v>
      </c>
      <c r="AG59" s="4">
        <f>IF('Rhaniad y Ddeiliadaeth (Cymru)'!$D$18="Data Cofrestrfa Tir",'Prisiau Tai (Canol. &amp; De-orll)'!H59,'Prisiau Tai (Canol. &amp; De-orll)'!Z59)</f>
        <v>199380.74738570675</v>
      </c>
    </row>
    <row r="60" spans="2:33" x14ac:dyDescent="0.25">
      <c r="B60" s="20">
        <v>66</v>
      </c>
      <c r="C60" s="56">
        <v>176000</v>
      </c>
      <c r="D60" s="57">
        <f>C60*(1+'Rhaniad y Ddeiliadaeth (C&amp;De-o)'!C$118)</f>
        <v>180999.38301158464</v>
      </c>
      <c r="E60" s="57">
        <f>D60*(1+'Rhaniad y Ddeiliadaeth (C&amp;De-o)'!D$118)</f>
        <v>181402.38804615021</v>
      </c>
      <c r="F60" s="57">
        <f>E60*(1+'Rhaniad y Ddeiliadaeth (C&amp;De-o)'!E$118)</f>
        <v>185306.96198452718</v>
      </c>
      <c r="G60" s="57">
        <f>F60*(1+'Rhaniad y Ddeiliadaeth (C&amp;De-o)'!F$118)</f>
        <v>192533.77942308792</v>
      </c>
      <c r="H60" s="57">
        <f>G60*(1+'Rhaniad y Ddeiliadaeth (C&amp;De-o)'!G$118)</f>
        <v>200520.0659421965</v>
      </c>
      <c r="L60" s="62" t="str">
        <f t="shared" si="0"/>
        <v/>
      </c>
      <c r="M60" s="239"/>
      <c r="N60" s="14">
        <f t="shared" si="3"/>
        <v>1</v>
      </c>
      <c r="T60" s="1">
        <f t="shared" si="1"/>
        <v>66</v>
      </c>
      <c r="U60" s="4" t="str">
        <f t="shared" si="2"/>
        <v/>
      </c>
      <c r="V60" s="4" t="e">
        <f>IF($V$3=$M$3,M60,U60*(1+'Rhaniad y Ddeiliadaeth (Cymru)'!C$118))</f>
        <v>#VALUE!</v>
      </c>
      <c r="W60" s="4" t="e">
        <f>V60*(1+'Rhaniad y Ddeiliadaeth (Cymru)'!D$118)</f>
        <v>#VALUE!</v>
      </c>
      <c r="X60" s="4" t="e">
        <f>W60*(1+'Rhaniad y Ddeiliadaeth (Cymru)'!E$118)</f>
        <v>#VALUE!</v>
      </c>
      <c r="Y60" s="4" t="e">
        <f>X60*(1+'Rhaniad y Ddeiliadaeth (Cymru)'!F$118)</f>
        <v>#VALUE!</v>
      </c>
      <c r="Z60" s="4" t="e">
        <f>Y60*(1+'Rhaniad y Ddeiliadaeth (Cymru)'!G$118)</f>
        <v>#VALUE!</v>
      </c>
      <c r="AB60" s="1">
        <v>66</v>
      </c>
      <c r="AC60" s="4">
        <f>IF('Rhaniad y Ddeiliadaeth (Cymru)'!$D$18="Data Cofrestrfa Tir",'Prisiau Tai (Canol. &amp; De-orll)'!D60,'Prisiau Tai (Canol. &amp; De-orll)'!V60)</f>
        <v>180999.38301158464</v>
      </c>
      <c r="AD60" s="4">
        <f>IF('Rhaniad y Ddeiliadaeth (Cymru)'!$D$18="Data Cofrestrfa Tir",'Prisiau Tai (Canol. &amp; De-orll)'!E60,'Prisiau Tai (Canol. &amp; De-orll)'!W60)</f>
        <v>181402.38804615021</v>
      </c>
      <c r="AE60" s="4">
        <f>IF('Rhaniad y Ddeiliadaeth (Cymru)'!$D$18="Data Cofrestrfa Tir",'Prisiau Tai (Canol. &amp; De-orll)'!F60,'Prisiau Tai (Canol. &amp; De-orll)'!X60)</f>
        <v>185306.96198452718</v>
      </c>
      <c r="AF60" s="4">
        <f>IF('Rhaniad y Ddeiliadaeth (Cymru)'!$D$18="Data Cofrestrfa Tir",'Prisiau Tai (Canol. &amp; De-orll)'!G60,'Prisiau Tai (Canol. &amp; De-orll)'!Y60)</f>
        <v>192533.77942308792</v>
      </c>
      <c r="AG60" s="4">
        <f>IF('Rhaniad y Ddeiliadaeth (Cymru)'!$D$18="Data Cofrestrfa Tir",'Prisiau Tai (Canol. &amp; De-orll)'!H60,'Prisiau Tai (Canol. &amp; De-orll)'!Z60)</f>
        <v>200520.0659421965</v>
      </c>
    </row>
    <row r="61" spans="2:33" x14ac:dyDescent="0.25">
      <c r="B61" s="20">
        <v>67</v>
      </c>
      <c r="C61" s="56">
        <v>180000</v>
      </c>
      <c r="D61" s="57">
        <f>C61*(1+'Rhaniad y Ddeiliadaeth (C&amp;De-o)'!C$118)</f>
        <v>185113.005352757</v>
      </c>
      <c r="E61" s="57">
        <f>D61*(1+'Rhaniad y Ddeiliadaeth (C&amp;De-o)'!D$118)</f>
        <v>185525.1695926536</v>
      </c>
      <c r="F61" s="57">
        <f>E61*(1+'Rhaniad y Ddeiliadaeth (C&amp;De-o)'!E$118)</f>
        <v>189518.48384781188</v>
      </c>
      <c r="G61" s="57">
        <f>F61*(1+'Rhaniad y Ddeiliadaeth (C&amp;De-o)'!F$118)</f>
        <v>196909.54713724897</v>
      </c>
      <c r="H61" s="57">
        <f>G61*(1+'Rhaniad y Ddeiliadaeth (C&amp;De-o)'!G$118)</f>
        <v>205077.34016815547</v>
      </c>
      <c r="L61" s="62" t="str">
        <f t="shared" si="0"/>
        <v/>
      </c>
      <c r="M61" s="239"/>
      <c r="N61" s="14">
        <f t="shared" si="3"/>
        <v>1</v>
      </c>
      <c r="T61" s="1">
        <f t="shared" si="1"/>
        <v>67</v>
      </c>
      <c r="U61" s="4" t="str">
        <f t="shared" si="2"/>
        <v/>
      </c>
      <c r="V61" s="4" t="e">
        <f>IF($V$3=$M$3,M61,U61*(1+'Rhaniad y Ddeiliadaeth (Cymru)'!C$118))</f>
        <v>#VALUE!</v>
      </c>
      <c r="W61" s="4" t="e">
        <f>V61*(1+'Rhaniad y Ddeiliadaeth (Cymru)'!D$118)</f>
        <v>#VALUE!</v>
      </c>
      <c r="X61" s="4" t="e">
        <f>W61*(1+'Rhaniad y Ddeiliadaeth (Cymru)'!E$118)</f>
        <v>#VALUE!</v>
      </c>
      <c r="Y61" s="4" t="e">
        <f>X61*(1+'Rhaniad y Ddeiliadaeth (Cymru)'!F$118)</f>
        <v>#VALUE!</v>
      </c>
      <c r="Z61" s="4" t="e">
        <f>Y61*(1+'Rhaniad y Ddeiliadaeth (Cymru)'!G$118)</f>
        <v>#VALUE!</v>
      </c>
      <c r="AB61" s="1">
        <v>67</v>
      </c>
      <c r="AC61" s="4">
        <f>IF('Rhaniad y Ddeiliadaeth (Cymru)'!$D$18="Data Cofrestrfa Tir",'Prisiau Tai (Canol. &amp; De-orll)'!D61,'Prisiau Tai (Canol. &amp; De-orll)'!V61)</f>
        <v>185113.005352757</v>
      </c>
      <c r="AD61" s="4">
        <f>IF('Rhaniad y Ddeiliadaeth (Cymru)'!$D$18="Data Cofrestrfa Tir",'Prisiau Tai (Canol. &amp; De-orll)'!E61,'Prisiau Tai (Canol. &amp; De-orll)'!W61)</f>
        <v>185525.1695926536</v>
      </c>
      <c r="AE61" s="4">
        <f>IF('Rhaniad y Ddeiliadaeth (Cymru)'!$D$18="Data Cofrestrfa Tir",'Prisiau Tai (Canol. &amp; De-orll)'!F61,'Prisiau Tai (Canol. &amp; De-orll)'!X61)</f>
        <v>189518.48384781188</v>
      </c>
      <c r="AF61" s="4">
        <f>IF('Rhaniad y Ddeiliadaeth (Cymru)'!$D$18="Data Cofrestrfa Tir",'Prisiau Tai (Canol. &amp; De-orll)'!G61,'Prisiau Tai (Canol. &amp; De-orll)'!Y61)</f>
        <v>196909.54713724897</v>
      </c>
      <c r="AG61" s="4">
        <f>IF('Rhaniad y Ddeiliadaeth (Cymru)'!$D$18="Data Cofrestrfa Tir",'Prisiau Tai (Canol. &amp; De-orll)'!H61,'Prisiau Tai (Canol. &amp; De-orll)'!Z61)</f>
        <v>205077.34016815547</v>
      </c>
    </row>
    <row r="62" spans="2:33" x14ac:dyDescent="0.25">
      <c r="B62" s="20">
        <v>68</v>
      </c>
      <c r="C62" s="56">
        <v>181000</v>
      </c>
      <c r="D62" s="57">
        <f>C62*(1+'Rhaniad y Ddeiliadaeth (C&amp;De-o)'!C$118)</f>
        <v>186141.4109380501</v>
      </c>
      <c r="E62" s="57">
        <f>D62*(1+'Rhaniad y Ddeiliadaeth (C&amp;De-o)'!D$118)</f>
        <v>186555.86497927946</v>
      </c>
      <c r="F62" s="57">
        <f>E62*(1+'Rhaniad y Ddeiliadaeth (C&amp;De-o)'!E$118)</f>
        <v>190571.36431363306</v>
      </c>
      <c r="G62" s="57">
        <f>F62*(1+'Rhaniad y Ddeiliadaeth (C&amp;De-o)'!F$118)</f>
        <v>198003.48906578927</v>
      </c>
      <c r="H62" s="57">
        <f>G62*(1+'Rhaniad y Ddeiliadaeth (C&amp;De-o)'!G$118)</f>
        <v>206216.65872464524</v>
      </c>
      <c r="L62" s="62" t="str">
        <f t="shared" si="0"/>
        <v/>
      </c>
      <c r="M62" s="239"/>
      <c r="N62" s="14">
        <f t="shared" si="3"/>
        <v>1</v>
      </c>
      <c r="T62" s="1">
        <f t="shared" si="1"/>
        <v>68</v>
      </c>
      <c r="U62" s="4" t="str">
        <f t="shared" si="2"/>
        <v/>
      </c>
      <c r="V62" s="4" t="e">
        <f>IF($V$3=$M$3,M62,U62*(1+'Rhaniad y Ddeiliadaeth (Cymru)'!C$118))</f>
        <v>#VALUE!</v>
      </c>
      <c r="W62" s="4" t="e">
        <f>V62*(1+'Rhaniad y Ddeiliadaeth (Cymru)'!D$118)</f>
        <v>#VALUE!</v>
      </c>
      <c r="X62" s="4" t="e">
        <f>W62*(1+'Rhaniad y Ddeiliadaeth (Cymru)'!E$118)</f>
        <v>#VALUE!</v>
      </c>
      <c r="Y62" s="4" t="e">
        <f>X62*(1+'Rhaniad y Ddeiliadaeth (Cymru)'!F$118)</f>
        <v>#VALUE!</v>
      </c>
      <c r="Z62" s="4" t="e">
        <f>Y62*(1+'Rhaniad y Ddeiliadaeth (Cymru)'!G$118)</f>
        <v>#VALUE!</v>
      </c>
      <c r="AB62" s="1">
        <v>68</v>
      </c>
      <c r="AC62" s="4">
        <f>IF('Rhaniad y Ddeiliadaeth (Cymru)'!$D$18="Data Cofrestrfa Tir",'Prisiau Tai (Canol. &amp; De-orll)'!D62,'Prisiau Tai (Canol. &amp; De-orll)'!V62)</f>
        <v>186141.4109380501</v>
      </c>
      <c r="AD62" s="4">
        <f>IF('Rhaniad y Ddeiliadaeth (Cymru)'!$D$18="Data Cofrestrfa Tir",'Prisiau Tai (Canol. &amp; De-orll)'!E62,'Prisiau Tai (Canol. &amp; De-orll)'!W62)</f>
        <v>186555.86497927946</v>
      </c>
      <c r="AE62" s="4">
        <f>IF('Rhaniad y Ddeiliadaeth (Cymru)'!$D$18="Data Cofrestrfa Tir",'Prisiau Tai (Canol. &amp; De-orll)'!F62,'Prisiau Tai (Canol. &amp; De-orll)'!X62)</f>
        <v>190571.36431363306</v>
      </c>
      <c r="AF62" s="4">
        <f>IF('Rhaniad y Ddeiliadaeth (Cymru)'!$D$18="Data Cofrestrfa Tir",'Prisiau Tai (Canol. &amp; De-orll)'!G62,'Prisiau Tai (Canol. &amp; De-orll)'!Y62)</f>
        <v>198003.48906578927</v>
      </c>
      <c r="AG62" s="4">
        <f>IF('Rhaniad y Ddeiliadaeth (Cymru)'!$D$18="Data Cofrestrfa Tir",'Prisiau Tai (Canol. &amp; De-orll)'!H62,'Prisiau Tai (Canol. &amp; De-orll)'!Z62)</f>
        <v>206216.65872464524</v>
      </c>
    </row>
    <row r="63" spans="2:33" x14ac:dyDescent="0.25">
      <c r="B63" s="20">
        <v>69</v>
      </c>
      <c r="C63" s="56">
        <v>185000</v>
      </c>
      <c r="D63" s="57">
        <f>C63*(1+'Rhaniad y Ddeiliadaeth (C&amp;De-o)'!C$118)</f>
        <v>190255.03327922247</v>
      </c>
      <c r="E63" s="57">
        <f>D63*(1+'Rhaniad y Ddeiliadaeth (C&amp;De-o)'!D$118)</f>
        <v>190678.64652578288</v>
      </c>
      <c r="F63" s="57">
        <f>E63*(1+'Rhaniad y Ddeiliadaeth (C&amp;De-o)'!E$118)</f>
        <v>194782.88617691779</v>
      </c>
      <c r="G63" s="57">
        <f>F63*(1+'Rhaniad y Ddeiliadaeth (C&amp;De-o)'!F$118)</f>
        <v>202379.25677995037</v>
      </c>
      <c r="H63" s="57">
        <f>G63*(1+'Rhaniad y Ddeiliadaeth (C&amp;De-o)'!G$118)</f>
        <v>210773.93295060427</v>
      </c>
      <c r="L63" s="62" t="str">
        <f t="shared" si="0"/>
        <v/>
      </c>
      <c r="M63" s="239"/>
      <c r="N63" s="14">
        <f t="shared" si="3"/>
        <v>1</v>
      </c>
      <c r="T63" s="1">
        <f t="shared" si="1"/>
        <v>69</v>
      </c>
      <c r="U63" s="4" t="str">
        <f t="shared" si="2"/>
        <v/>
      </c>
      <c r="V63" s="4" t="e">
        <f>IF($V$3=$M$3,M63,U63*(1+'Rhaniad y Ddeiliadaeth (Cymru)'!C$118))</f>
        <v>#VALUE!</v>
      </c>
      <c r="W63" s="4" t="e">
        <f>V63*(1+'Rhaniad y Ddeiliadaeth (Cymru)'!D$118)</f>
        <v>#VALUE!</v>
      </c>
      <c r="X63" s="4" t="e">
        <f>W63*(1+'Rhaniad y Ddeiliadaeth (Cymru)'!E$118)</f>
        <v>#VALUE!</v>
      </c>
      <c r="Y63" s="4" t="e">
        <f>X63*(1+'Rhaniad y Ddeiliadaeth (Cymru)'!F$118)</f>
        <v>#VALUE!</v>
      </c>
      <c r="Z63" s="4" t="e">
        <f>Y63*(1+'Rhaniad y Ddeiliadaeth (Cymru)'!G$118)</f>
        <v>#VALUE!</v>
      </c>
      <c r="AB63" s="1">
        <v>69</v>
      </c>
      <c r="AC63" s="4">
        <f>IF('Rhaniad y Ddeiliadaeth (Cymru)'!$D$18="Data Cofrestrfa Tir",'Prisiau Tai (Canol. &amp; De-orll)'!D63,'Prisiau Tai (Canol. &amp; De-orll)'!V63)</f>
        <v>190255.03327922247</v>
      </c>
      <c r="AD63" s="4">
        <f>IF('Rhaniad y Ddeiliadaeth (Cymru)'!$D$18="Data Cofrestrfa Tir",'Prisiau Tai (Canol. &amp; De-orll)'!E63,'Prisiau Tai (Canol. &amp; De-orll)'!W63)</f>
        <v>190678.64652578288</v>
      </c>
      <c r="AE63" s="4">
        <f>IF('Rhaniad y Ddeiliadaeth (Cymru)'!$D$18="Data Cofrestrfa Tir",'Prisiau Tai (Canol. &amp; De-orll)'!F63,'Prisiau Tai (Canol. &amp; De-orll)'!X63)</f>
        <v>194782.88617691779</v>
      </c>
      <c r="AF63" s="4">
        <f>IF('Rhaniad y Ddeiliadaeth (Cymru)'!$D$18="Data Cofrestrfa Tir",'Prisiau Tai (Canol. &amp; De-orll)'!G63,'Prisiau Tai (Canol. &amp; De-orll)'!Y63)</f>
        <v>202379.25677995037</v>
      </c>
      <c r="AG63" s="4">
        <f>IF('Rhaniad y Ddeiliadaeth (Cymru)'!$D$18="Data Cofrestrfa Tir",'Prisiau Tai (Canol. &amp; De-orll)'!H63,'Prisiau Tai (Canol. &amp; De-orll)'!Z63)</f>
        <v>210773.93295060427</v>
      </c>
    </row>
    <row r="64" spans="2:33" x14ac:dyDescent="0.25">
      <c r="B64" s="20">
        <v>70</v>
      </c>
      <c r="C64" s="56">
        <v>188000</v>
      </c>
      <c r="D64" s="57">
        <f>C64*(1+'Rhaniad y Ddeiliadaeth (C&amp;De-o)'!C$118)</f>
        <v>193340.25003510175</v>
      </c>
      <c r="E64" s="57">
        <f>D64*(1+'Rhaniad y Ddeiliadaeth (C&amp;De-o)'!D$118)</f>
        <v>193770.73268566042</v>
      </c>
      <c r="F64" s="57">
        <f>E64*(1+'Rhaniad y Ddeiliadaeth (C&amp;De-o)'!E$118)</f>
        <v>197941.5275743813</v>
      </c>
      <c r="G64" s="57">
        <f>F64*(1+'Rhaniad y Ddeiliadaeth (C&amp;De-o)'!F$118)</f>
        <v>205661.08256557115</v>
      </c>
      <c r="H64" s="57">
        <f>G64*(1+'Rhaniad y Ddeiliadaeth (C&amp;De-o)'!G$118)</f>
        <v>214191.8886200735</v>
      </c>
      <c r="L64" s="62" t="str">
        <f t="shared" si="0"/>
        <v/>
      </c>
      <c r="M64" s="239"/>
      <c r="N64" s="14">
        <f t="shared" si="3"/>
        <v>1</v>
      </c>
      <c r="T64" s="1">
        <f t="shared" si="1"/>
        <v>70</v>
      </c>
      <c r="U64" s="4" t="str">
        <f t="shared" si="2"/>
        <v/>
      </c>
      <c r="V64" s="4" t="e">
        <f>IF($V$3=$M$3,M64,U64*(1+'Rhaniad y Ddeiliadaeth (Cymru)'!C$118))</f>
        <v>#VALUE!</v>
      </c>
      <c r="W64" s="4" t="e">
        <f>V64*(1+'Rhaniad y Ddeiliadaeth (Cymru)'!D$118)</f>
        <v>#VALUE!</v>
      </c>
      <c r="X64" s="4" t="e">
        <f>W64*(1+'Rhaniad y Ddeiliadaeth (Cymru)'!E$118)</f>
        <v>#VALUE!</v>
      </c>
      <c r="Y64" s="4" t="e">
        <f>X64*(1+'Rhaniad y Ddeiliadaeth (Cymru)'!F$118)</f>
        <v>#VALUE!</v>
      </c>
      <c r="Z64" s="4" t="e">
        <f>Y64*(1+'Rhaniad y Ddeiliadaeth (Cymru)'!G$118)</f>
        <v>#VALUE!</v>
      </c>
      <c r="AB64" s="1">
        <v>70</v>
      </c>
      <c r="AC64" s="4">
        <f>IF('Rhaniad y Ddeiliadaeth (Cymru)'!$D$18="Data Cofrestrfa Tir",'Prisiau Tai (Canol. &amp; De-orll)'!D64,'Prisiau Tai (Canol. &amp; De-orll)'!V64)</f>
        <v>193340.25003510175</v>
      </c>
      <c r="AD64" s="4">
        <f>IF('Rhaniad y Ddeiliadaeth (Cymru)'!$D$18="Data Cofrestrfa Tir",'Prisiau Tai (Canol. &amp; De-orll)'!E64,'Prisiau Tai (Canol. &amp; De-orll)'!W64)</f>
        <v>193770.73268566042</v>
      </c>
      <c r="AE64" s="4">
        <f>IF('Rhaniad y Ddeiliadaeth (Cymru)'!$D$18="Data Cofrestrfa Tir",'Prisiau Tai (Canol. &amp; De-orll)'!F64,'Prisiau Tai (Canol. &amp; De-orll)'!X64)</f>
        <v>197941.5275743813</v>
      </c>
      <c r="AF64" s="4">
        <f>IF('Rhaniad y Ddeiliadaeth (Cymru)'!$D$18="Data Cofrestrfa Tir",'Prisiau Tai (Canol. &amp; De-orll)'!G64,'Prisiau Tai (Canol. &amp; De-orll)'!Y64)</f>
        <v>205661.08256557115</v>
      </c>
      <c r="AG64" s="4">
        <f>IF('Rhaniad y Ddeiliadaeth (Cymru)'!$D$18="Data Cofrestrfa Tir",'Prisiau Tai (Canol. &amp; De-orll)'!H64,'Prisiau Tai (Canol. &amp; De-orll)'!Z64)</f>
        <v>214191.8886200735</v>
      </c>
    </row>
    <row r="65" spans="2:33" x14ac:dyDescent="0.25">
      <c r="B65" s="20">
        <v>71</v>
      </c>
      <c r="C65" s="56">
        <v>190000</v>
      </c>
      <c r="D65" s="57">
        <f>C65*(1+'Rhaniad y Ddeiliadaeth (C&amp;De-o)'!C$118)</f>
        <v>195397.06120568793</v>
      </c>
      <c r="E65" s="57">
        <f>D65*(1+'Rhaniad y Ddeiliadaeth (C&amp;De-o)'!D$118)</f>
        <v>195832.12345891213</v>
      </c>
      <c r="F65" s="57">
        <f>E65*(1+'Rhaniad y Ddeiliadaeth (C&amp;De-o)'!E$118)</f>
        <v>200047.28850602364</v>
      </c>
      <c r="G65" s="57">
        <f>F65*(1+'Rhaniad y Ddeiliadaeth (C&amp;De-o)'!F$118)</f>
        <v>207848.96642265169</v>
      </c>
      <c r="H65" s="57">
        <f>G65*(1+'Rhaniad y Ddeiliadaeth (C&amp;De-o)'!G$118)</f>
        <v>216470.52573305299</v>
      </c>
      <c r="L65" s="62" t="str">
        <f t="shared" si="0"/>
        <v/>
      </c>
      <c r="M65" s="239"/>
      <c r="N65" s="14">
        <f t="shared" si="3"/>
        <v>1</v>
      </c>
      <c r="T65" s="1">
        <f t="shared" si="1"/>
        <v>71</v>
      </c>
      <c r="U65" s="4" t="str">
        <f t="shared" si="2"/>
        <v/>
      </c>
      <c r="V65" s="4" t="e">
        <f>IF($V$3=$M$3,M65,U65*(1+'Rhaniad y Ddeiliadaeth (Cymru)'!C$118))</f>
        <v>#VALUE!</v>
      </c>
      <c r="W65" s="4" t="e">
        <f>V65*(1+'Rhaniad y Ddeiliadaeth (Cymru)'!D$118)</f>
        <v>#VALUE!</v>
      </c>
      <c r="X65" s="4" t="e">
        <f>W65*(1+'Rhaniad y Ddeiliadaeth (Cymru)'!E$118)</f>
        <v>#VALUE!</v>
      </c>
      <c r="Y65" s="4" t="e">
        <f>X65*(1+'Rhaniad y Ddeiliadaeth (Cymru)'!F$118)</f>
        <v>#VALUE!</v>
      </c>
      <c r="Z65" s="4" t="e">
        <f>Y65*(1+'Rhaniad y Ddeiliadaeth (Cymru)'!G$118)</f>
        <v>#VALUE!</v>
      </c>
      <c r="AB65" s="1">
        <v>71</v>
      </c>
      <c r="AC65" s="4">
        <f>IF('Rhaniad y Ddeiliadaeth (Cymru)'!$D$18="Data Cofrestrfa Tir",'Prisiau Tai (Canol. &amp; De-orll)'!D65,'Prisiau Tai (Canol. &amp; De-orll)'!V65)</f>
        <v>195397.06120568793</v>
      </c>
      <c r="AD65" s="4">
        <f>IF('Rhaniad y Ddeiliadaeth (Cymru)'!$D$18="Data Cofrestrfa Tir",'Prisiau Tai (Canol. &amp; De-orll)'!E65,'Prisiau Tai (Canol. &amp; De-orll)'!W65)</f>
        <v>195832.12345891213</v>
      </c>
      <c r="AE65" s="4">
        <f>IF('Rhaniad y Ddeiliadaeth (Cymru)'!$D$18="Data Cofrestrfa Tir",'Prisiau Tai (Canol. &amp; De-orll)'!F65,'Prisiau Tai (Canol. &amp; De-orll)'!X65)</f>
        <v>200047.28850602364</v>
      </c>
      <c r="AF65" s="4">
        <f>IF('Rhaniad y Ddeiliadaeth (Cymru)'!$D$18="Data Cofrestrfa Tir",'Prisiau Tai (Canol. &amp; De-orll)'!G65,'Prisiau Tai (Canol. &amp; De-orll)'!Y65)</f>
        <v>207848.96642265169</v>
      </c>
      <c r="AG65" s="4">
        <f>IF('Rhaniad y Ddeiliadaeth (Cymru)'!$D$18="Data Cofrestrfa Tir",'Prisiau Tai (Canol. &amp; De-orll)'!H65,'Prisiau Tai (Canol. &amp; De-orll)'!Z65)</f>
        <v>216470.52573305299</v>
      </c>
    </row>
    <row r="66" spans="2:33" x14ac:dyDescent="0.25">
      <c r="B66" s="20">
        <v>72</v>
      </c>
      <c r="C66" s="56">
        <v>194000</v>
      </c>
      <c r="D66" s="57">
        <f>C66*(1+'Rhaniad y Ddeiliadaeth (C&amp;De-o)'!C$118)</f>
        <v>199510.68354686032</v>
      </c>
      <c r="E66" s="57">
        <f>D66*(1+'Rhaniad y Ddeiliadaeth (C&amp;De-o)'!D$118)</f>
        <v>199954.90500541555</v>
      </c>
      <c r="F66" s="57">
        <f>E66*(1+'Rhaniad y Ddeiliadaeth (C&amp;De-o)'!E$118)</f>
        <v>204258.81036930837</v>
      </c>
      <c r="G66" s="57">
        <f>F66*(1+'Rhaniad y Ddeiliadaeth (C&amp;De-o)'!F$118)</f>
        <v>212224.7341368128</v>
      </c>
      <c r="H66" s="57">
        <f>G66*(1+'Rhaniad y Ddeiliadaeth (C&amp;De-o)'!G$118)</f>
        <v>221027.79995901202</v>
      </c>
      <c r="L66" s="62" t="str">
        <f t="shared" si="0"/>
        <v/>
      </c>
      <c r="M66" s="239"/>
      <c r="N66" s="14">
        <f t="shared" si="3"/>
        <v>1</v>
      </c>
      <c r="T66" s="1">
        <f t="shared" si="1"/>
        <v>72</v>
      </c>
      <c r="U66" s="4" t="str">
        <f t="shared" si="2"/>
        <v/>
      </c>
      <c r="V66" s="4" t="e">
        <f>IF($V$3=$M$3,M66,U66*(1+'Rhaniad y Ddeiliadaeth (Cymru)'!C$118))</f>
        <v>#VALUE!</v>
      </c>
      <c r="W66" s="4" t="e">
        <f>V66*(1+'Rhaniad y Ddeiliadaeth (Cymru)'!D$118)</f>
        <v>#VALUE!</v>
      </c>
      <c r="X66" s="4" t="e">
        <f>W66*(1+'Rhaniad y Ddeiliadaeth (Cymru)'!E$118)</f>
        <v>#VALUE!</v>
      </c>
      <c r="Y66" s="4" t="e">
        <f>X66*(1+'Rhaniad y Ddeiliadaeth (Cymru)'!F$118)</f>
        <v>#VALUE!</v>
      </c>
      <c r="Z66" s="4" t="e">
        <f>Y66*(1+'Rhaniad y Ddeiliadaeth (Cymru)'!G$118)</f>
        <v>#VALUE!</v>
      </c>
      <c r="AB66" s="1">
        <v>72</v>
      </c>
      <c r="AC66" s="4">
        <f>IF('Rhaniad y Ddeiliadaeth (Cymru)'!$D$18="Data Cofrestrfa Tir",'Prisiau Tai (Canol. &amp; De-orll)'!D66,'Prisiau Tai (Canol. &amp; De-orll)'!V66)</f>
        <v>199510.68354686032</v>
      </c>
      <c r="AD66" s="4">
        <f>IF('Rhaniad y Ddeiliadaeth (Cymru)'!$D$18="Data Cofrestrfa Tir",'Prisiau Tai (Canol. &amp; De-orll)'!E66,'Prisiau Tai (Canol. &amp; De-orll)'!W66)</f>
        <v>199954.90500541555</v>
      </c>
      <c r="AE66" s="4">
        <f>IF('Rhaniad y Ddeiliadaeth (Cymru)'!$D$18="Data Cofrestrfa Tir",'Prisiau Tai (Canol. &amp; De-orll)'!F66,'Prisiau Tai (Canol. &amp; De-orll)'!X66)</f>
        <v>204258.81036930837</v>
      </c>
      <c r="AF66" s="4">
        <f>IF('Rhaniad y Ddeiliadaeth (Cymru)'!$D$18="Data Cofrestrfa Tir",'Prisiau Tai (Canol. &amp; De-orll)'!G66,'Prisiau Tai (Canol. &amp; De-orll)'!Y66)</f>
        <v>212224.7341368128</v>
      </c>
      <c r="AG66" s="4">
        <f>IF('Rhaniad y Ddeiliadaeth (Cymru)'!$D$18="Data Cofrestrfa Tir",'Prisiau Tai (Canol. &amp; De-orll)'!H66,'Prisiau Tai (Canol. &amp; De-orll)'!Z66)</f>
        <v>221027.79995901202</v>
      </c>
    </row>
    <row r="67" spans="2:33" x14ac:dyDescent="0.25">
      <c r="B67" s="20">
        <v>73</v>
      </c>
      <c r="C67" s="56">
        <v>197500</v>
      </c>
      <c r="D67" s="57">
        <f>C67*(1+'Rhaniad y Ddeiliadaeth (C&amp;De-o)'!C$118)</f>
        <v>203110.10309538615</v>
      </c>
      <c r="E67" s="57">
        <f>D67*(1+'Rhaniad y Ddeiliadaeth (C&amp;De-o)'!D$118)</f>
        <v>203562.33885860603</v>
      </c>
      <c r="F67" s="57">
        <f>E67*(1+'Rhaniad y Ddeiliadaeth (C&amp;De-o)'!E$118)</f>
        <v>207943.89199968247</v>
      </c>
      <c r="G67" s="57">
        <f>F67*(1+'Rhaniad y Ddeiliadaeth (C&amp;De-o)'!F$118)</f>
        <v>216053.53088670375</v>
      </c>
      <c r="H67" s="57">
        <f>G67*(1+'Rhaniad y Ddeiliadaeth (C&amp;De-o)'!G$118)</f>
        <v>225015.41490672616</v>
      </c>
      <c r="L67" s="62" t="str">
        <f t="shared" si="0"/>
        <v/>
      </c>
      <c r="M67" s="239"/>
      <c r="N67" s="14">
        <f t="shared" si="3"/>
        <v>1</v>
      </c>
      <c r="T67" s="1">
        <f t="shared" si="1"/>
        <v>73</v>
      </c>
      <c r="U67" s="4" t="str">
        <f t="shared" si="2"/>
        <v/>
      </c>
      <c r="V67" s="4" t="e">
        <f>IF($V$3=$M$3,M67,U67*(1+'Rhaniad y Ddeiliadaeth (Cymru)'!C$118))</f>
        <v>#VALUE!</v>
      </c>
      <c r="W67" s="4" t="e">
        <f>V67*(1+'Rhaniad y Ddeiliadaeth (Cymru)'!D$118)</f>
        <v>#VALUE!</v>
      </c>
      <c r="X67" s="4" t="e">
        <f>W67*(1+'Rhaniad y Ddeiliadaeth (Cymru)'!E$118)</f>
        <v>#VALUE!</v>
      </c>
      <c r="Y67" s="4" t="e">
        <f>X67*(1+'Rhaniad y Ddeiliadaeth (Cymru)'!F$118)</f>
        <v>#VALUE!</v>
      </c>
      <c r="Z67" s="4" t="e">
        <f>Y67*(1+'Rhaniad y Ddeiliadaeth (Cymru)'!G$118)</f>
        <v>#VALUE!</v>
      </c>
      <c r="AB67" s="1">
        <v>73</v>
      </c>
      <c r="AC67" s="4">
        <f>IF('Rhaniad y Ddeiliadaeth (Cymru)'!$D$18="Data Cofrestrfa Tir",'Prisiau Tai (Canol. &amp; De-orll)'!D67,'Prisiau Tai (Canol. &amp; De-orll)'!V67)</f>
        <v>203110.10309538615</v>
      </c>
      <c r="AD67" s="4">
        <f>IF('Rhaniad y Ddeiliadaeth (Cymru)'!$D$18="Data Cofrestrfa Tir",'Prisiau Tai (Canol. &amp; De-orll)'!E67,'Prisiau Tai (Canol. &amp; De-orll)'!W67)</f>
        <v>203562.33885860603</v>
      </c>
      <c r="AE67" s="4">
        <f>IF('Rhaniad y Ddeiliadaeth (Cymru)'!$D$18="Data Cofrestrfa Tir",'Prisiau Tai (Canol. &amp; De-orll)'!F67,'Prisiau Tai (Canol. &amp; De-orll)'!X67)</f>
        <v>207943.89199968247</v>
      </c>
      <c r="AF67" s="4">
        <f>IF('Rhaniad y Ddeiliadaeth (Cymru)'!$D$18="Data Cofrestrfa Tir",'Prisiau Tai (Canol. &amp; De-orll)'!G67,'Prisiau Tai (Canol. &amp; De-orll)'!Y67)</f>
        <v>216053.53088670375</v>
      </c>
      <c r="AG67" s="4">
        <f>IF('Rhaniad y Ddeiliadaeth (Cymru)'!$D$18="Data Cofrestrfa Tir",'Prisiau Tai (Canol. &amp; De-orll)'!H67,'Prisiau Tai (Canol. &amp; De-orll)'!Z67)</f>
        <v>225015.41490672616</v>
      </c>
    </row>
    <row r="68" spans="2:33" x14ac:dyDescent="0.25">
      <c r="B68" s="20">
        <v>74</v>
      </c>
      <c r="C68" s="56">
        <v>200000</v>
      </c>
      <c r="D68" s="57">
        <f>C68*(1+'Rhaniad y Ddeiliadaeth (C&amp;De-o)'!C$118)</f>
        <v>205681.1170586189</v>
      </c>
      <c r="E68" s="57">
        <f>D68*(1+'Rhaniad y Ddeiliadaeth (C&amp;De-o)'!D$118)</f>
        <v>206139.07732517069</v>
      </c>
      <c r="F68" s="57">
        <f>E68*(1+'Rhaniad y Ddeiliadaeth (C&amp;De-o)'!E$118)</f>
        <v>210576.09316423544</v>
      </c>
      <c r="G68" s="57">
        <f>F68*(1+'Rhaniad y Ddeiliadaeth (C&amp;De-o)'!F$118)</f>
        <v>218788.38570805444</v>
      </c>
      <c r="H68" s="57">
        <f>G68*(1+'Rhaniad y Ddeiliadaeth (C&amp;De-o)'!G$118)</f>
        <v>227863.71129795056</v>
      </c>
      <c r="L68" s="62" t="str">
        <f t="shared" ref="L68:L84" si="4">IF(ISBLANK($K$4),"",B68)</f>
        <v/>
      </c>
      <c r="M68" s="239"/>
      <c r="N68" s="14">
        <f t="shared" si="3"/>
        <v>1</v>
      </c>
      <c r="T68" s="1">
        <f t="shared" ref="T68:T84" si="5">B68</f>
        <v>74</v>
      </c>
      <c r="U68" s="4" t="str">
        <f t="shared" ref="U68:U84" si="6">IF($M$3=$U$3,M68,"")</f>
        <v/>
      </c>
      <c r="V68" s="4" t="e">
        <f>IF($V$3=$M$3,M68,U68*(1+'Rhaniad y Ddeiliadaeth (Cymru)'!C$118))</f>
        <v>#VALUE!</v>
      </c>
      <c r="W68" s="4" t="e">
        <f>V68*(1+'Rhaniad y Ddeiliadaeth (Cymru)'!D$118)</f>
        <v>#VALUE!</v>
      </c>
      <c r="X68" s="4" t="e">
        <f>W68*(1+'Rhaniad y Ddeiliadaeth (Cymru)'!E$118)</f>
        <v>#VALUE!</v>
      </c>
      <c r="Y68" s="4" t="e">
        <f>X68*(1+'Rhaniad y Ddeiliadaeth (Cymru)'!F$118)</f>
        <v>#VALUE!</v>
      </c>
      <c r="Z68" s="4" t="e">
        <f>Y68*(1+'Rhaniad y Ddeiliadaeth (Cymru)'!G$118)</f>
        <v>#VALUE!</v>
      </c>
      <c r="AB68" s="1">
        <v>74</v>
      </c>
      <c r="AC68" s="4">
        <f>IF('Rhaniad y Ddeiliadaeth (Cymru)'!$D$18="Data Cofrestrfa Tir",'Prisiau Tai (Canol. &amp; De-orll)'!D68,'Prisiau Tai (Canol. &amp; De-orll)'!V68)</f>
        <v>205681.1170586189</v>
      </c>
      <c r="AD68" s="4">
        <f>IF('Rhaniad y Ddeiliadaeth (Cymru)'!$D$18="Data Cofrestrfa Tir",'Prisiau Tai (Canol. &amp; De-orll)'!E68,'Prisiau Tai (Canol. &amp; De-orll)'!W68)</f>
        <v>206139.07732517069</v>
      </c>
      <c r="AE68" s="4">
        <f>IF('Rhaniad y Ddeiliadaeth (Cymru)'!$D$18="Data Cofrestrfa Tir",'Prisiau Tai (Canol. &amp; De-orll)'!F68,'Prisiau Tai (Canol. &amp; De-orll)'!X68)</f>
        <v>210576.09316423544</v>
      </c>
      <c r="AF68" s="4">
        <f>IF('Rhaniad y Ddeiliadaeth (Cymru)'!$D$18="Data Cofrestrfa Tir",'Prisiau Tai (Canol. &amp; De-orll)'!G68,'Prisiau Tai (Canol. &amp; De-orll)'!Y68)</f>
        <v>218788.38570805444</v>
      </c>
      <c r="AG68" s="4">
        <f>IF('Rhaniad y Ddeiliadaeth (Cymru)'!$D$18="Data Cofrestrfa Tir",'Prisiau Tai (Canol. &amp; De-orll)'!H68,'Prisiau Tai (Canol. &amp; De-orll)'!Z68)</f>
        <v>227863.71129795056</v>
      </c>
    </row>
    <row r="69" spans="2:33" x14ac:dyDescent="0.25">
      <c r="B69" s="20">
        <v>75</v>
      </c>
      <c r="C69" s="56">
        <v>205000</v>
      </c>
      <c r="D69" s="57">
        <f>C69*(1+'Rhaniad y Ddeiliadaeth (C&amp;De-o)'!C$118)</f>
        <v>210823.14498508436</v>
      </c>
      <c r="E69" s="57">
        <f>D69*(1+'Rhaniad y Ddeiliadaeth (C&amp;De-o)'!D$118)</f>
        <v>211292.55425829993</v>
      </c>
      <c r="F69" s="57">
        <f>E69*(1+'Rhaniad y Ddeiliadaeth (C&amp;De-o)'!E$118)</f>
        <v>215840.4954933413</v>
      </c>
      <c r="G69" s="57">
        <f>F69*(1+'Rhaniad y Ddeiliadaeth (C&amp;De-o)'!F$118)</f>
        <v>224258.09535075579</v>
      </c>
      <c r="H69" s="57">
        <f>G69*(1+'Rhaniad y Ddeiliadaeth (C&amp;De-o)'!G$118)</f>
        <v>233560.30408039931</v>
      </c>
      <c r="L69" s="62" t="str">
        <f t="shared" si="4"/>
        <v/>
      </c>
      <c r="M69" s="239"/>
      <c r="N69" s="14">
        <f t="shared" ref="N69:N84" si="7">IF(ISBLANK(M69),1,0)</f>
        <v>1</v>
      </c>
      <c r="T69" s="1">
        <f t="shared" si="5"/>
        <v>75</v>
      </c>
      <c r="U69" s="4" t="str">
        <f t="shared" si="6"/>
        <v/>
      </c>
      <c r="V69" s="4" t="e">
        <f>IF($V$3=$M$3,M69,U69*(1+'Rhaniad y Ddeiliadaeth (Cymru)'!C$118))</f>
        <v>#VALUE!</v>
      </c>
      <c r="W69" s="4" t="e">
        <f>V69*(1+'Rhaniad y Ddeiliadaeth (Cymru)'!D$118)</f>
        <v>#VALUE!</v>
      </c>
      <c r="X69" s="4" t="e">
        <f>W69*(1+'Rhaniad y Ddeiliadaeth (Cymru)'!E$118)</f>
        <v>#VALUE!</v>
      </c>
      <c r="Y69" s="4" t="e">
        <f>X69*(1+'Rhaniad y Ddeiliadaeth (Cymru)'!F$118)</f>
        <v>#VALUE!</v>
      </c>
      <c r="Z69" s="4" t="e">
        <f>Y69*(1+'Rhaniad y Ddeiliadaeth (Cymru)'!G$118)</f>
        <v>#VALUE!</v>
      </c>
      <c r="AB69" s="1">
        <v>75</v>
      </c>
      <c r="AC69" s="4">
        <f>IF('Rhaniad y Ddeiliadaeth (Cymru)'!$D$18="Data Cofrestrfa Tir",'Prisiau Tai (Canol. &amp; De-orll)'!D69,'Prisiau Tai (Canol. &amp; De-orll)'!V69)</f>
        <v>210823.14498508436</v>
      </c>
      <c r="AD69" s="4">
        <f>IF('Rhaniad y Ddeiliadaeth (Cymru)'!$D$18="Data Cofrestrfa Tir",'Prisiau Tai (Canol. &amp; De-orll)'!E69,'Prisiau Tai (Canol. &amp; De-orll)'!W69)</f>
        <v>211292.55425829993</v>
      </c>
      <c r="AE69" s="4">
        <f>IF('Rhaniad y Ddeiliadaeth (Cymru)'!$D$18="Data Cofrestrfa Tir",'Prisiau Tai (Canol. &amp; De-orll)'!F69,'Prisiau Tai (Canol. &amp; De-orll)'!X69)</f>
        <v>215840.4954933413</v>
      </c>
      <c r="AF69" s="4">
        <f>IF('Rhaniad y Ddeiliadaeth (Cymru)'!$D$18="Data Cofrestrfa Tir",'Prisiau Tai (Canol. &amp; De-orll)'!G69,'Prisiau Tai (Canol. &amp; De-orll)'!Y69)</f>
        <v>224258.09535075579</v>
      </c>
      <c r="AG69" s="4">
        <f>IF('Rhaniad y Ddeiliadaeth (Cymru)'!$D$18="Data Cofrestrfa Tir",'Prisiau Tai (Canol. &amp; De-orll)'!H69,'Prisiau Tai (Canol. &amp; De-orll)'!Z69)</f>
        <v>233560.30408039931</v>
      </c>
    </row>
    <row r="70" spans="2:33" x14ac:dyDescent="0.25">
      <c r="B70" s="20">
        <v>76</v>
      </c>
      <c r="C70" s="56">
        <v>210000</v>
      </c>
      <c r="D70" s="57">
        <f>C70*(1+'Rhaniad y Ddeiliadaeth (C&amp;De-o)'!C$118)</f>
        <v>215965.17291154983</v>
      </c>
      <c r="E70" s="57">
        <f>D70*(1+'Rhaniad y Ddeiliadaeth (C&amp;De-o)'!D$118)</f>
        <v>216446.03119142921</v>
      </c>
      <c r="F70" s="57">
        <f>E70*(1+'Rhaniad y Ddeiliadaeth (C&amp;De-o)'!E$118)</f>
        <v>221104.89782244721</v>
      </c>
      <c r="G70" s="57">
        <f>F70*(1+'Rhaniad y Ddeiliadaeth (C&amp;De-o)'!F$118)</f>
        <v>229727.80499345716</v>
      </c>
      <c r="H70" s="57">
        <f>G70*(1+'Rhaniad y Ddeiliadaeth (C&amp;De-o)'!G$118)</f>
        <v>239256.89686284808</v>
      </c>
      <c r="L70" s="62" t="str">
        <f t="shared" si="4"/>
        <v/>
      </c>
      <c r="M70" s="239"/>
      <c r="N70" s="14">
        <f t="shared" si="7"/>
        <v>1</v>
      </c>
      <c r="T70" s="1">
        <f t="shared" si="5"/>
        <v>76</v>
      </c>
      <c r="U70" s="4" t="str">
        <f t="shared" si="6"/>
        <v/>
      </c>
      <c r="V70" s="4" t="e">
        <f>IF($V$3=$M$3,M70,U70*(1+'Rhaniad y Ddeiliadaeth (Cymru)'!C$118))</f>
        <v>#VALUE!</v>
      </c>
      <c r="W70" s="4" t="e">
        <f>V70*(1+'Rhaniad y Ddeiliadaeth (Cymru)'!D$118)</f>
        <v>#VALUE!</v>
      </c>
      <c r="X70" s="4" t="e">
        <f>W70*(1+'Rhaniad y Ddeiliadaeth (Cymru)'!E$118)</f>
        <v>#VALUE!</v>
      </c>
      <c r="Y70" s="4" t="e">
        <f>X70*(1+'Rhaniad y Ddeiliadaeth (Cymru)'!F$118)</f>
        <v>#VALUE!</v>
      </c>
      <c r="Z70" s="4" t="e">
        <f>Y70*(1+'Rhaniad y Ddeiliadaeth (Cymru)'!G$118)</f>
        <v>#VALUE!</v>
      </c>
      <c r="AB70" s="1">
        <v>76</v>
      </c>
      <c r="AC70" s="4">
        <f>IF('Rhaniad y Ddeiliadaeth (Cymru)'!$D$18="Data Cofrestrfa Tir",'Prisiau Tai (Canol. &amp; De-orll)'!D70,'Prisiau Tai (Canol. &amp; De-orll)'!V70)</f>
        <v>215965.17291154983</v>
      </c>
      <c r="AD70" s="4">
        <f>IF('Rhaniad y Ddeiliadaeth (Cymru)'!$D$18="Data Cofrestrfa Tir",'Prisiau Tai (Canol. &amp; De-orll)'!E70,'Prisiau Tai (Canol. &amp; De-orll)'!W70)</f>
        <v>216446.03119142921</v>
      </c>
      <c r="AE70" s="4">
        <f>IF('Rhaniad y Ddeiliadaeth (Cymru)'!$D$18="Data Cofrestrfa Tir",'Prisiau Tai (Canol. &amp; De-orll)'!F70,'Prisiau Tai (Canol. &amp; De-orll)'!X70)</f>
        <v>221104.89782244721</v>
      </c>
      <c r="AF70" s="4">
        <f>IF('Rhaniad y Ddeiliadaeth (Cymru)'!$D$18="Data Cofrestrfa Tir",'Prisiau Tai (Canol. &amp; De-orll)'!G70,'Prisiau Tai (Canol. &amp; De-orll)'!Y70)</f>
        <v>229727.80499345716</v>
      </c>
      <c r="AG70" s="4">
        <f>IF('Rhaniad y Ddeiliadaeth (Cymru)'!$D$18="Data Cofrestrfa Tir",'Prisiau Tai (Canol. &amp; De-orll)'!H70,'Prisiau Tai (Canol. &amp; De-orll)'!Z70)</f>
        <v>239256.89686284808</v>
      </c>
    </row>
    <row r="71" spans="2:33" x14ac:dyDescent="0.25">
      <c r="B71" s="20">
        <v>77</v>
      </c>
      <c r="C71" s="56">
        <v>215000</v>
      </c>
      <c r="D71" s="57">
        <f>C71*(1+'Rhaniad y Ddeiliadaeth (C&amp;De-o)'!C$118)</f>
        <v>221107.2008380153</v>
      </c>
      <c r="E71" s="57">
        <f>D71*(1+'Rhaniad y Ddeiliadaeth (C&amp;De-o)'!D$118)</f>
        <v>221599.50812455846</v>
      </c>
      <c r="F71" s="57">
        <f>E71*(1+'Rhaniad y Ddeiliadaeth (C&amp;De-o)'!E$118)</f>
        <v>226369.30015155306</v>
      </c>
      <c r="G71" s="57">
        <f>F71*(1+'Rhaniad y Ddeiliadaeth (C&amp;De-o)'!F$118)</f>
        <v>235197.51463615851</v>
      </c>
      <c r="H71" s="57">
        <f>G71*(1+'Rhaniad y Ddeiliadaeth (C&amp;De-o)'!G$118)</f>
        <v>244953.48964529682</v>
      </c>
      <c r="L71" s="62" t="str">
        <f t="shared" si="4"/>
        <v/>
      </c>
      <c r="M71" s="239"/>
      <c r="N71" s="14">
        <f t="shared" si="7"/>
        <v>1</v>
      </c>
      <c r="T71" s="1">
        <f t="shared" si="5"/>
        <v>77</v>
      </c>
      <c r="U71" s="4" t="str">
        <f t="shared" si="6"/>
        <v/>
      </c>
      <c r="V71" s="4" t="e">
        <f>IF($V$3=$M$3,M71,U71*(1+'Rhaniad y Ddeiliadaeth (Cymru)'!C$118))</f>
        <v>#VALUE!</v>
      </c>
      <c r="W71" s="4" t="e">
        <f>V71*(1+'Rhaniad y Ddeiliadaeth (Cymru)'!D$118)</f>
        <v>#VALUE!</v>
      </c>
      <c r="X71" s="4" t="e">
        <f>W71*(1+'Rhaniad y Ddeiliadaeth (Cymru)'!E$118)</f>
        <v>#VALUE!</v>
      </c>
      <c r="Y71" s="4" t="e">
        <f>X71*(1+'Rhaniad y Ddeiliadaeth (Cymru)'!F$118)</f>
        <v>#VALUE!</v>
      </c>
      <c r="Z71" s="4" t="e">
        <f>Y71*(1+'Rhaniad y Ddeiliadaeth (Cymru)'!G$118)</f>
        <v>#VALUE!</v>
      </c>
      <c r="AB71" s="1">
        <v>77</v>
      </c>
      <c r="AC71" s="4">
        <f>IF('Rhaniad y Ddeiliadaeth (Cymru)'!$D$18="Data Cofrestrfa Tir",'Prisiau Tai (Canol. &amp; De-orll)'!D71,'Prisiau Tai (Canol. &amp; De-orll)'!V71)</f>
        <v>221107.2008380153</v>
      </c>
      <c r="AD71" s="4">
        <f>IF('Rhaniad y Ddeiliadaeth (Cymru)'!$D$18="Data Cofrestrfa Tir",'Prisiau Tai (Canol. &amp; De-orll)'!E71,'Prisiau Tai (Canol. &amp; De-orll)'!W71)</f>
        <v>221599.50812455846</v>
      </c>
      <c r="AE71" s="4">
        <f>IF('Rhaniad y Ddeiliadaeth (Cymru)'!$D$18="Data Cofrestrfa Tir",'Prisiau Tai (Canol. &amp; De-orll)'!F71,'Prisiau Tai (Canol. &amp; De-orll)'!X71)</f>
        <v>226369.30015155306</v>
      </c>
      <c r="AF71" s="4">
        <f>IF('Rhaniad y Ddeiliadaeth (Cymru)'!$D$18="Data Cofrestrfa Tir",'Prisiau Tai (Canol. &amp; De-orll)'!G71,'Prisiau Tai (Canol. &amp; De-orll)'!Y71)</f>
        <v>235197.51463615851</v>
      </c>
      <c r="AG71" s="4">
        <f>IF('Rhaniad y Ddeiliadaeth (Cymru)'!$D$18="Data Cofrestrfa Tir",'Prisiau Tai (Canol. &amp; De-orll)'!H71,'Prisiau Tai (Canol. &amp; De-orll)'!Z71)</f>
        <v>244953.48964529682</v>
      </c>
    </row>
    <row r="72" spans="2:33" x14ac:dyDescent="0.25">
      <c r="B72" s="20">
        <v>78</v>
      </c>
      <c r="C72" s="56">
        <v>218000</v>
      </c>
      <c r="D72" s="57">
        <f>C72*(1+'Rhaniad y Ddeiliadaeth (C&amp;De-o)'!C$118)</f>
        <v>224192.41759389458</v>
      </c>
      <c r="E72" s="57">
        <f>D72*(1+'Rhaniad y Ddeiliadaeth (C&amp;De-o)'!D$118)</f>
        <v>224691.59428443603</v>
      </c>
      <c r="F72" s="57">
        <f>E72*(1+'Rhaniad y Ddeiliadaeth (C&amp;De-o)'!E$118)</f>
        <v>229527.9415490166</v>
      </c>
      <c r="G72" s="57">
        <f>F72*(1+'Rhaniad y Ddeiliadaeth (C&amp;De-o)'!F$118)</f>
        <v>238479.34042177931</v>
      </c>
      <c r="H72" s="57">
        <f>G72*(1+'Rhaniad y Ddeiliadaeth (C&amp;De-o)'!G$118)</f>
        <v>248371.44531476608</v>
      </c>
      <c r="L72" s="62" t="str">
        <f t="shared" si="4"/>
        <v/>
      </c>
      <c r="M72" s="239"/>
      <c r="N72" s="14">
        <f t="shared" si="7"/>
        <v>1</v>
      </c>
      <c r="T72" s="1">
        <f t="shared" si="5"/>
        <v>78</v>
      </c>
      <c r="U72" s="4" t="str">
        <f t="shared" si="6"/>
        <v/>
      </c>
      <c r="V72" s="4" t="e">
        <f>IF($V$3=$M$3,M72,U72*(1+'Rhaniad y Ddeiliadaeth (Cymru)'!C$118))</f>
        <v>#VALUE!</v>
      </c>
      <c r="W72" s="4" t="e">
        <f>V72*(1+'Rhaniad y Ddeiliadaeth (Cymru)'!D$118)</f>
        <v>#VALUE!</v>
      </c>
      <c r="X72" s="4" t="e">
        <f>W72*(1+'Rhaniad y Ddeiliadaeth (Cymru)'!E$118)</f>
        <v>#VALUE!</v>
      </c>
      <c r="Y72" s="4" t="e">
        <f>X72*(1+'Rhaniad y Ddeiliadaeth (Cymru)'!F$118)</f>
        <v>#VALUE!</v>
      </c>
      <c r="Z72" s="4" t="e">
        <f>Y72*(1+'Rhaniad y Ddeiliadaeth (Cymru)'!G$118)</f>
        <v>#VALUE!</v>
      </c>
      <c r="AB72" s="1">
        <v>78</v>
      </c>
      <c r="AC72" s="4">
        <f>IF('Rhaniad y Ddeiliadaeth (Cymru)'!$D$18="Data Cofrestrfa Tir",'Prisiau Tai (Canol. &amp; De-orll)'!D72,'Prisiau Tai (Canol. &amp; De-orll)'!V72)</f>
        <v>224192.41759389458</v>
      </c>
      <c r="AD72" s="4">
        <f>IF('Rhaniad y Ddeiliadaeth (Cymru)'!$D$18="Data Cofrestrfa Tir",'Prisiau Tai (Canol. &amp; De-orll)'!E72,'Prisiau Tai (Canol. &amp; De-orll)'!W72)</f>
        <v>224691.59428443603</v>
      </c>
      <c r="AE72" s="4">
        <f>IF('Rhaniad y Ddeiliadaeth (Cymru)'!$D$18="Data Cofrestrfa Tir",'Prisiau Tai (Canol. &amp; De-orll)'!F72,'Prisiau Tai (Canol. &amp; De-orll)'!X72)</f>
        <v>229527.9415490166</v>
      </c>
      <c r="AF72" s="4">
        <f>IF('Rhaniad y Ddeiliadaeth (Cymru)'!$D$18="Data Cofrestrfa Tir",'Prisiau Tai (Canol. &amp; De-orll)'!G72,'Prisiau Tai (Canol. &amp; De-orll)'!Y72)</f>
        <v>238479.34042177931</v>
      </c>
      <c r="AG72" s="4">
        <f>IF('Rhaniad y Ddeiliadaeth (Cymru)'!$D$18="Data Cofrestrfa Tir",'Prisiau Tai (Canol. &amp; De-orll)'!H72,'Prisiau Tai (Canol. &amp; De-orll)'!Z72)</f>
        <v>248371.44531476608</v>
      </c>
    </row>
    <row r="73" spans="2:33" x14ac:dyDescent="0.25">
      <c r="B73" s="20">
        <v>79</v>
      </c>
      <c r="C73" s="56">
        <v>220000</v>
      </c>
      <c r="D73" s="57">
        <f>C73*(1+'Rhaniad y Ddeiliadaeth (C&amp;De-o)'!C$118)</f>
        <v>226249.22876448077</v>
      </c>
      <c r="E73" s="57">
        <f>D73*(1+'Rhaniad y Ddeiliadaeth (C&amp;De-o)'!D$118)</f>
        <v>226752.98505768774</v>
      </c>
      <c r="F73" s="57">
        <f>E73*(1+'Rhaniad y Ddeiliadaeth (C&amp;De-o)'!E$118)</f>
        <v>231633.70248065895</v>
      </c>
      <c r="G73" s="57">
        <f>F73*(1+'Rhaniad y Ddeiliadaeth (C&amp;De-o)'!F$118)</f>
        <v>240667.22427885985</v>
      </c>
      <c r="H73" s="57">
        <f>G73*(1+'Rhaniad y Ddeiliadaeth (C&amp;De-o)'!G$118)</f>
        <v>250650.08242774557</v>
      </c>
      <c r="L73" s="62" t="str">
        <f t="shared" si="4"/>
        <v/>
      </c>
      <c r="M73" s="239"/>
      <c r="N73" s="14">
        <f t="shared" si="7"/>
        <v>1</v>
      </c>
      <c r="T73" s="1">
        <f t="shared" si="5"/>
        <v>79</v>
      </c>
      <c r="U73" s="4" t="str">
        <f t="shared" si="6"/>
        <v/>
      </c>
      <c r="V73" s="4" t="e">
        <f>IF($V$3=$M$3,M73,U73*(1+'Rhaniad y Ddeiliadaeth (Cymru)'!C$118))</f>
        <v>#VALUE!</v>
      </c>
      <c r="W73" s="4" t="e">
        <f>V73*(1+'Rhaniad y Ddeiliadaeth (Cymru)'!D$118)</f>
        <v>#VALUE!</v>
      </c>
      <c r="X73" s="4" t="e">
        <f>W73*(1+'Rhaniad y Ddeiliadaeth (Cymru)'!E$118)</f>
        <v>#VALUE!</v>
      </c>
      <c r="Y73" s="4" t="e">
        <f>X73*(1+'Rhaniad y Ddeiliadaeth (Cymru)'!F$118)</f>
        <v>#VALUE!</v>
      </c>
      <c r="Z73" s="4" t="e">
        <f>Y73*(1+'Rhaniad y Ddeiliadaeth (Cymru)'!G$118)</f>
        <v>#VALUE!</v>
      </c>
      <c r="AB73" s="1">
        <v>79</v>
      </c>
      <c r="AC73" s="4">
        <f>IF('Rhaniad y Ddeiliadaeth (Cymru)'!$D$18="Data Cofrestrfa Tir",'Prisiau Tai (Canol. &amp; De-orll)'!D73,'Prisiau Tai (Canol. &amp; De-orll)'!V73)</f>
        <v>226249.22876448077</v>
      </c>
      <c r="AD73" s="4">
        <f>IF('Rhaniad y Ddeiliadaeth (Cymru)'!$D$18="Data Cofrestrfa Tir",'Prisiau Tai (Canol. &amp; De-orll)'!E73,'Prisiau Tai (Canol. &amp; De-orll)'!W73)</f>
        <v>226752.98505768774</v>
      </c>
      <c r="AE73" s="4">
        <f>IF('Rhaniad y Ddeiliadaeth (Cymru)'!$D$18="Data Cofrestrfa Tir",'Prisiau Tai (Canol. &amp; De-orll)'!F73,'Prisiau Tai (Canol. &amp; De-orll)'!X73)</f>
        <v>231633.70248065895</v>
      </c>
      <c r="AF73" s="4">
        <f>IF('Rhaniad y Ddeiliadaeth (Cymru)'!$D$18="Data Cofrestrfa Tir",'Prisiau Tai (Canol. &amp; De-orll)'!G73,'Prisiau Tai (Canol. &amp; De-orll)'!Y73)</f>
        <v>240667.22427885985</v>
      </c>
      <c r="AG73" s="4">
        <f>IF('Rhaniad y Ddeiliadaeth (Cymru)'!$D$18="Data Cofrestrfa Tir",'Prisiau Tai (Canol. &amp; De-orll)'!H73,'Prisiau Tai (Canol. &amp; De-orll)'!Z73)</f>
        <v>250650.08242774557</v>
      </c>
    </row>
    <row r="74" spans="2:33" x14ac:dyDescent="0.25">
      <c r="B74" s="20">
        <v>80</v>
      </c>
      <c r="C74" s="56">
        <v>225000</v>
      </c>
      <c r="D74" s="57">
        <f>C74*(1+'Rhaniad y Ddeiliadaeth (C&amp;De-o)'!C$118)</f>
        <v>231391.25669094626</v>
      </c>
      <c r="E74" s="57">
        <f>D74*(1+'Rhaniad y Ddeiliadaeth (C&amp;De-o)'!D$118)</f>
        <v>231906.46199081701</v>
      </c>
      <c r="F74" s="57">
        <f>E74*(1+'Rhaniad y Ddeiliadaeth (C&amp;De-o)'!E$118)</f>
        <v>236898.10480976486</v>
      </c>
      <c r="G74" s="57">
        <f>F74*(1+'Rhaniad y Ddeiliadaeth (C&amp;De-o)'!F$118)</f>
        <v>246136.93392156126</v>
      </c>
      <c r="H74" s="57">
        <f>G74*(1+'Rhaniad y Ddeiliadaeth (C&amp;De-o)'!G$118)</f>
        <v>256346.6752101944</v>
      </c>
      <c r="L74" s="62" t="str">
        <f t="shared" si="4"/>
        <v/>
      </c>
      <c r="M74" s="239"/>
      <c r="N74" s="14">
        <f t="shared" si="7"/>
        <v>1</v>
      </c>
      <c r="T74" s="1">
        <f t="shared" si="5"/>
        <v>80</v>
      </c>
      <c r="U74" s="4" t="str">
        <f t="shared" si="6"/>
        <v/>
      </c>
      <c r="V74" s="4" t="e">
        <f>IF($V$3=$M$3,M74,U74*(1+'Rhaniad y Ddeiliadaeth (Cymru)'!C$118))</f>
        <v>#VALUE!</v>
      </c>
      <c r="W74" s="4" t="e">
        <f>V74*(1+'Rhaniad y Ddeiliadaeth (Cymru)'!D$118)</f>
        <v>#VALUE!</v>
      </c>
      <c r="X74" s="4" t="e">
        <f>W74*(1+'Rhaniad y Ddeiliadaeth (Cymru)'!E$118)</f>
        <v>#VALUE!</v>
      </c>
      <c r="Y74" s="4" t="e">
        <f>X74*(1+'Rhaniad y Ddeiliadaeth (Cymru)'!F$118)</f>
        <v>#VALUE!</v>
      </c>
      <c r="Z74" s="4" t="e">
        <f>Y74*(1+'Rhaniad y Ddeiliadaeth (Cymru)'!G$118)</f>
        <v>#VALUE!</v>
      </c>
      <c r="AB74" s="1">
        <v>80</v>
      </c>
      <c r="AC74" s="4">
        <f>IF('Rhaniad y Ddeiliadaeth (Cymru)'!$D$18="Data Cofrestrfa Tir",'Prisiau Tai (Canol. &amp; De-orll)'!D74,'Prisiau Tai (Canol. &amp; De-orll)'!V74)</f>
        <v>231391.25669094626</v>
      </c>
      <c r="AD74" s="4">
        <f>IF('Rhaniad y Ddeiliadaeth (Cymru)'!$D$18="Data Cofrestrfa Tir",'Prisiau Tai (Canol. &amp; De-orll)'!E74,'Prisiau Tai (Canol. &amp; De-orll)'!W74)</f>
        <v>231906.46199081701</v>
      </c>
      <c r="AE74" s="4">
        <f>IF('Rhaniad y Ddeiliadaeth (Cymru)'!$D$18="Data Cofrestrfa Tir",'Prisiau Tai (Canol. &amp; De-orll)'!F74,'Prisiau Tai (Canol. &amp; De-orll)'!X74)</f>
        <v>236898.10480976486</v>
      </c>
      <c r="AF74" s="4">
        <f>IF('Rhaniad y Ddeiliadaeth (Cymru)'!$D$18="Data Cofrestrfa Tir",'Prisiau Tai (Canol. &amp; De-orll)'!G74,'Prisiau Tai (Canol. &amp; De-orll)'!Y74)</f>
        <v>246136.93392156126</v>
      </c>
      <c r="AG74" s="4">
        <f>IF('Rhaniad y Ddeiliadaeth (Cymru)'!$D$18="Data Cofrestrfa Tir",'Prisiau Tai (Canol. &amp; De-orll)'!H74,'Prisiau Tai (Canol. &amp; De-orll)'!Z74)</f>
        <v>256346.6752101944</v>
      </c>
    </row>
    <row r="75" spans="2:33" x14ac:dyDescent="0.25">
      <c r="B75" s="20">
        <v>81</v>
      </c>
      <c r="C75" s="56">
        <v>230000</v>
      </c>
      <c r="D75" s="57">
        <f>C75*(1+'Rhaniad y Ddeiliadaeth (C&amp;De-o)'!C$118)</f>
        <v>236533.28461741173</v>
      </c>
      <c r="E75" s="57">
        <f>D75*(1+'Rhaniad y Ddeiliadaeth (C&amp;De-o)'!D$118)</f>
        <v>237059.93892394629</v>
      </c>
      <c r="F75" s="57">
        <f>E75*(1+'Rhaniad y Ddeiliadaeth (C&amp;De-o)'!E$118)</f>
        <v>242162.50713887074</v>
      </c>
      <c r="G75" s="57">
        <f>F75*(1+'Rhaniad y Ddeiliadaeth (C&amp;De-o)'!F$118)</f>
        <v>251606.6435642626</v>
      </c>
      <c r="H75" s="57">
        <f>G75*(1+'Rhaniad y Ddeiliadaeth (C&amp;De-o)'!G$118)</f>
        <v>262043.26799264314</v>
      </c>
      <c r="L75" s="62" t="str">
        <f t="shared" si="4"/>
        <v/>
      </c>
      <c r="M75" s="239"/>
      <c r="N75" s="14">
        <f t="shared" si="7"/>
        <v>1</v>
      </c>
      <c r="T75" s="1">
        <f t="shared" si="5"/>
        <v>81</v>
      </c>
      <c r="U75" s="4" t="str">
        <f t="shared" si="6"/>
        <v/>
      </c>
      <c r="V75" s="4" t="e">
        <f>IF($V$3=$M$3,M75,U75*(1+'Rhaniad y Ddeiliadaeth (Cymru)'!C$118))</f>
        <v>#VALUE!</v>
      </c>
      <c r="W75" s="4" t="e">
        <f>V75*(1+'Rhaniad y Ddeiliadaeth (Cymru)'!D$118)</f>
        <v>#VALUE!</v>
      </c>
      <c r="X75" s="4" t="e">
        <f>W75*(1+'Rhaniad y Ddeiliadaeth (Cymru)'!E$118)</f>
        <v>#VALUE!</v>
      </c>
      <c r="Y75" s="4" t="e">
        <f>X75*(1+'Rhaniad y Ddeiliadaeth (Cymru)'!F$118)</f>
        <v>#VALUE!</v>
      </c>
      <c r="Z75" s="4" t="e">
        <f>Y75*(1+'Rhaniad y Ddeiliadaeth (Cymru)'!G$118)</f>
        <v>#VALUE!</v>
      </c>
      <c r="AB75" s="1">
        <v>81</v>
      </c>
      <c r="AC75" s="4">
        <f>IF('Rhaniad y Ddeiliadaeth (Cymru)'!$D$18="Data Cofrestrfa Tir",'Prisiau Tai (Canol. &amp; De-orll)'!D75,'Prisiau Tai (Canol. &amp; De-orll)'!V75)</f>
        <v>236533.28461741173</v>
      </c>
      <c r="AD75" s="4">
        <f>IF('Rhaniad y Ddeiliadaeth (Cymru)'!$D$18="Data Cofrestrfa Tir",'Prisiau Tai (Canol. &amp; De-orll)'!E75,'Prisiau Tai (Canol. &amp; De-orll)'!W75)</f>
        <v>237059.93892394629</v>
      </c>
      <c r="AE75" s="4">
        <f>IF('Rhaniad y Ddeiliadaeth (Cymru)'!$D$18="Data Cofrestrfa Tir",'Prisiau Tai (Canol. &amp; De-orll)'!F75,'Prisiau Tai (Canol. &amp; De-orll)'!X75)</f>
        <v>242162.50713887074</v>
      </c>
      <c r="AF75" s="4">
        <f>IF('Rhaniad y Ddeiliadaeth (Cymru)'!$D$18="Data Cofrestrfa Tir",'Prisiau Tai (Canol. &amp; De-orll)'!G75,'Prisiau Tai (Canol. &amp; De-orll)'!Y75)</f>
        <v>251606.6435642626</v>
      </c>
      <c r="AG75" s="4">
        <f>IF('Rhaniad y Ddeiliadaeth (Cymru)'!$D$18="Data Cofrestrfa Tir",'Prisiau Tai (Canol. &amp; De-orll)'!H75,'Prisiau Tai (Canol. &amp; De-orll)'!Z75)</f>
        <v>262043.26799264314</v>
      </c>
    </row>
    <row r="76" spans="2:33" x14ac:dyDescent="0.25">
      <c r="B76" s="20">
        <v>82</v>
      </c>
      <c r="C76" s="56">
        <v>233000</v>
      </c>
      <c r="D76" s="57">
        <f>C76*(1+'Rhaniad y Ddeiliadaeth (C&amp;De-o)'!C$118)</f>
        <v>239618.50137329102</v>
      </c>
      <c r="E76" s="57">
        <f>D76*(1+'Rhaniad y Ddeiliadaeth (C&amp;De-o)'!D$118)</f>
        <v>240152.02508382386</v>
      </c>
      <c r="F76" s="57">
        <f>E76*(1+'Rhaniad y Ddeiliadaeth (C&amp;De-o)'!E$118)</f>
        <v>245321.14853633428</v>
      </c>
      <c r="G76" s="57">
        <f>F76*(1+'Rhaniad y Ddeiliadaeth (C&amp;De-o)'!F$118)</f>
        <v>254888.46934988344</v>
      </c>
      <c r="H76" s="57">
        <f>G76*(1+'Rhaniad y Ddeiliadaeth (C&amp;De-o)'!G$118)</f>
        <v>265461.22366211243</v>
      </c>
      <c r="L76" s="62" t="str">
        <f t="shared" si="4"/>
        <v/>
      </c>
      <c r="M76" s="239"/>
      <c r="N76" s="14">
        <f t="shared" si="7"/>
        <v>1</v>
      </c>
      <c r="T76" s="1">
        <f t="shared" si="5"/>
        <v>82</v>
      </c>
      <c r="U76" s="4" t="str">
        <f t="shared" si="6"/>
        <v/>
      </c>
      <c r="V76" s="4" t="e">
        <f>IF($V$3=$M$3,M76,U76*(1+'Rhaniad y Ddeiliadaeth (Cymru)'!C$118))</f>
        <v>#VALUE!</v>
      </c>
      <c r="W76" s="4" t="e">
        <f>V76*(1+'Rhaniad y Ddeiliadaeth (Cymru)'!D$118)</f>
        <v>#VALUE!</v>
      </c>
      <c r="X76" s="4" t="e">
        <f>W76*(1+'Rhaniad y Ddeiliadaeth (Cymru)'!E$118)</f>
        <v>#VALUE!</v>
      </c>
      <c r="Y76" s="4" t="e">
        <f>X76*(1+'Rhaniad y Ddeiliadaeth (Cymru)'!F$118)</f>
        <v>#VALUE!</v>
      </c>
      <c r="Z76" s="4" t="e">
        <f>Y76*(1+'Rhaniad y Ddeiliadaeth (Cymru)'!G$118)</f>
        <v>#VALUE!</v>
      </c>
      <c r="AB76" s="1">
        <v>82</v>
      </c>
      <c r="AC76" s="4">
        <f>IF('Rhaniad y Ddeiliadaeth (Cymru)'!$D$18="Data Cofrestrfa Tir",'Prisiau Tai (Canol. &amp; De-orll)'!D76,'Prisiau Tai (Canol. &amp; De-orll)'!V76)</f>
        <v>239618.50137329102</v>
      </c>
      <c r="AD76" s="4">
        <f>IF('Rhaniad y Ddeiliadaeth (Cymru)'!$D$18="Data Cofrestrfa Tir",'Prisiau Tai (Canol. &amp; De-orll)'!E76,'Prisiau Tai (Canol. &amp; De-orll)'!W76)</f>
        <v>240152.02508382386</v>
      </c>
      <c r="AE76" s="4">
        <f>IF('Rhaniad y Ddeiliadaeth (Cymru)'!$D$18="Data Cofrestrfa Tir",'Prisiau Tai (Canol. &amp; De-orll)'!F76,'Prisiau Tai (Canol. &amp; De-orll)'!X76)</f>
        <v>245321.14853633428</v>
      </c>
      <c r="AF76" s="4">
        <f>IF('Rhaniad y Ddeiliadaeth (Cymru)'!$D$18="Data Cofrestrfa Tir",'Prisiau Tai (Canol. &amp; De-orll)'!G76,'Prisiau Tai (Canol. &amp; De-orll)'!Y76)</f>
        <v>254888.46934988344</v>
      </c>
      <c r="AG76" s="4">
        <f>IF('Rhaniad y Ddeiliadaeth (Cymru)'!$D$18="Data Cofrestrfa Tir",'Prisiau Tai (Canol. &amp; De-orll)'!H76,'Prisiau Tai (Canol. &amp; De-orll)'!Z76)</f>
        <v>265461.22366211243</v>
      </c>
    </row>
    <row r="77" spans="2:33" x14ac:dyDescent="0.25">
      <c r="B77" s="20">
        <v>83</v>
      </c>
      <c r="C77" s="56">
        <v>238000</v>
      </c>
      <c r="D77" s="57">
        <f>C77*(1+'Rhaniad y Ddeiliadaeth (C&amp;De-o)'!C$118)</f>
        <v>244760.52929975648</v>
      </c>
      <c r="E77" s="57">
        <f>D77*(1+'Rhaniad y Ddeiliadaeth (C&amp;De-o)'!D$118)</f>
        <v>245305.50201695311</v>
      </c>
      <c r="F77" s="57">
        <f>E77*(1+'Rhaniad y Ddeiliadaeth (C&amp;De-o)'!E$118)</f>
        <v>250585.55086544016</v>
      </c>
      <c r="G77" s="57">
        <f>F77*(1+'Rhaniad y Ddeiliadaeth (C&amp;De-o)'!F$118)</f>
        <v>260358.17899258478</v>
      </c>
      <c r="H77" s="57">
        <f>G77*(1+'Rhaniad y Ddeiliadaeth (C&amp;De-o)'!G$118)</f>
        <v>271157.81644456118</v>
      </c>
      <c r="L77" s="62" t="str">
        <f t="shared" si="4"/>
        <v/>
      </c>
      <c r="M77" s="239"/>
      <c r="N77" s="14">
        <f t="shared" si="7"/>
        <v>1</v>
      </c>
      <c r="T77" s="1">
        <f t="shared" si="5"/>
        <v>83</v>
      </c>
      <c r="U77" s="4" t="str">
        <f t="shared" si="6"/>
        <v/>
      </c>
      <c r="V77" s="4" t="e">
        <f>IF($V$3=$M$3,M77,U77*(1+'Rhaniad y Ddeiliadaeth (Cymru)'!C$118))</f>
        <v>#VALUE!</v>
      </c>
      <c r="W77" s="4" t="e">
        <f>V77*(1+'Rhaniad y Ddeiliadaeth (Cymru)'!D$118)</f>
        <v>#VALUE!</v>
      </c>
      <c r="X77" s="4" t="e">
        <f>W77*(1+'Rhaniad y Ddeiliadaeth (Cymru)'!E$118)</f>
        <v>#VALUE!</v>
      </c>
      <c r="Y77" s="4" t="e">
        <f>X77*(1+'Rhaniad y Ddeiliadaeth (Cymru)'!F$118)</f>
        <v>#VALUE!</v>
      </c>
      <c r="Z77" s="4" t="e">
        <f>Y77*(1+'Rhaniad y Ddeiliadaeth (Cymru)'!G$118)</f>
        <v>#VALUE!</v>
      </c>
      <c r="AB77" s="1">
        <v>83</v>
      </c>
      <c r="AC77" s="4">
        <f>IF('Rhaniad y Ddeiliadaeth (Cymru)'!$D$18="Data Cofrestrfa Tir",'Prisiau Tai (Canol. &amp; De-orll)'!D77,'Prisiau Tai (Canol. &amp; De-orll)'!V77)</f>
        <v>244760.52929975648</v>
      </c>
      <c r="AD77" s="4">
        <f>IF('Rhaniad y Ddeiliadaeth (Cymru)'!$D$18="Data Cofrestrfa Tir",'Prisiau Tai (Canol. &amp; De-orll)'!E77,'Prisiau Tai (Canol. &amp; De-orll)'!W77)</f>
        <v>245305.50201695311</v>
      </c>
      <c r="AE77" s="4">
        <f>IF('Rhaniad y Ddeiliadaeth (Cymru)'!$D$18="Data Cofrestrfa Tir",'Prisiau Tai (Canol. &amp; De-orll)'!F77,'Prisiau Tai (Canol. &amp; De-orll)'!X77)</f>
        <v>250585.55086544016</v>
      </c>
      <c r="AF77" s="4">
        <f>IF('Rhaniad y Ddeiliadaeth (Cymru)'!$D$18="Data Cofrestrfa Tir",'Prisiau Tai (Canol. &amp; De-orll)'!G77,'Prisiau Tai (Canol. &amp; De-orll)'!Y77)</f>
        <v>260358.17899258478</v>
      </c>
      <c r="AG77" s="4">
        <f>IF('Rhaniad y Ddeiliadaeth (Cymru)'!$D$18="Data Cofrestrfa Tir",'Prisiau Tai (Canol. &amp; De-orll)'!H77,'Prisiau Tai (Canol. &amp; De-orll)'!Z77)</f>
        <v>271157.81644456118</v>
      </c>
    </row>
    <row r="78" spans="2:33" x14ac:dyDescent="0.25">
      <c r="B78" s="20">
        <v>84</v>
      </c>
      <c r="C78" s="56">
        <v>242000</v>
      </c>
      <c r="D78" s="57">
        <f>C78*(1+'Rhaniad y Ddeiliadaeth (C&amp;De-o)'!C$118)</f>
        <v>248874.15164092885</v>
      </c>
      <c r="E78" s="57">
        <f>D78*(1+'Rhaniad y Ddeiliadaeth (C&amp;De-o)'!D$118)</f>
        <v>249428.2835634565</v>
      </c>
      <c r="F78" s="57">
        <f>E78*(1+'Rhaniad y Ddeiliadaeth (C&amp;De-o)'!E$118)</f>
        <v>254797.07272872486</v>
      </c>
      <c r="G78" s="57">
        <f>F78*(1+'Rhaniad y Ddeiliadaeth (C&amp;De-o)'!F$118)</f>
        <v>264733.94670674583</v>
      </c>
      <c r="H78" s="57">
        <f>G78*(1+'Rhaniad y Ddeiliadaeth (C&amp;De-o)'!G$118)</f>
        <v>275715.09067052015</v>
      </c>
      <c r="L78" s="62" t="str">
        <f t="shared" si="4"/>
        <v/>
      </c>
      <c r="M78" s="239"/>
      <c r="N78" s="14">
        <f t="shared" si="7"/>
        <v>1</v>
      </c>
      <c r="T78" s="1">
        <f t="shared" si="5"/>
        <v>84</v>
      </c>
      <c r="U78" s="4" t="str">
        <f t="shared" si="6"/>
        <v/>
      </c>
      <c r="V78" s="4" t="e">
        <f>IF($V$3=$M$3,M78,U78*(1+'Rhaniad y Ddeiliadaeth (Cymru)'!C$118))</f>
        <v>#VALUE!</v>
      </c>
      <c r="W78" s="4" t="e">
        <f>V78*(1+'Rhaniad y Ddeiliadaeth (Cymru)'!D$118)</f>
        <v>#VALUE!</v>
      </c>
      <c r="X78" s="4" t="e">
        <f>W78*(1+'Rhaniad y Ddeiliadaeth (Cymru)'!E$118)</f>
        <v>#VALUE!</v>
      </c>
      <c r="Y78" s="4" t="e">
        <f>X78*(1+'Rhaniad y Ddeiliadaeth (Cymru)'!F$118)</f>
        <v>#VALUE!</v>
      </c>
      <c r="Z78" s="4" t="e">
        <f>Y78*(1+'Rhaniad y Ddeiliadaeth (Cymru)'!G$118)</f>
        <v>#VALUE!</v>
      </c>
      <c r="AB78" s="1">
        <v>84</v>
      </c>
      <c r="AC78" s="4">
        <f>IF('Rhaniad y Ddeiliadaeth (Cymru)'!$D$18="Data Cofrestrfa Tir",'Prisiau Tai (Canol. &amp; De-orll)'!D78,'Prisiau Tai (Canol. &amp; De-orll)'!V78)</f>
        <v>248874.15164092885</v>
      </c>
      <c r="AD78" s="4">
        <f>IF('Rhaniad y Ddeiliadaeth (Cymru)'!$D$18="Data Cofrestrfa Tir",'Prisiau Tai (Canol. &amp; De-orll)'!E78,'Prisiau Tai (Canol. &amp; De-orll)'!W78)</f>
        <v>249428.2835634565</v>
      </c>
      <c r="AE78" s="4">
        <f>IF('Rhaniad y Ddeiliadaeth (Cymru)'!$D$18="Data Cofrestrfa Tir",'Prisiau Tai (Canol. &amp; De-orll)'!F78,'Prisiau Tai (Canol. &amp; De-orll)'!X78)</f>
        <v>254797.07272872486</v>
      </c>
      <c r="AF78" s="4">
        <f>IF('Rhaniad y Ddeiliadaeth (Cymru)'!$D$18="Data Cofrestrfa Tir",'Prisiau Tai (Canol. &amp; De-orll)'!G78,'Prisiau Tai (Canol. &amp; De-orll)'!Y78)</f>
        <v>264733.94670674583</v>
      </c>
      <c r="AG78" s="4">
        <f>IF('Rhaniad y Ddeiliadaeth (Cymru)'!$D$18="Data Cofrestrfa Tir",'Prisiau Tai (Canol. &amp; De-orll)'!H78,'Prisiau Tai (Canol. &amp; De-orll)'!Z78)</f>
        <v>275715.09067052015</v>
      </c>
    </row>
    <row r="79" spans="2:33" x14ac:dyDescent="0.25">
      <c r="B79" s="20">
        <v>85</v>
      </c>
      <c r="C79" s="56">
        <v>247500</v>
      </c>
      <c r="D79" s="57">
        <f>C79*(1+'Rhaniad y Ddeiliadaeth (C&amp;De-o)'!C$118)</f>
        <v>254530.38236004088</v>
      </c>
      <c r="E79" s="57">
        <f>D79*(1+'Rhaniad y Ddeiliadaeth (C&amp;De-o)'!D$118)</f>
        <v>255097.10818989872</v>
      </c>
      <c r="F79" s="57">
        <f>E79*(1+'Rhaniad y Ddeiliadaeth (C&amp;De-o)'!E$118)</f>
        <v>260587.91529074134</v>
      </c>
      <c r="G79" s="57">
        <f>F79*(1+'Rhaniad y Ddeiliadaeth (C&amp;De-o)'!F$118)</f>
        <v>270750.62731371738</v>
      </c>
      <c r="H79" s="57">
        <f>G79*(1+'Rhaniad y Ddeiliadaeth (C&amp;De-o)'!G$118)</f>
        <v>281981.34273121384</v>
      </c>
      <c r="L79" s="62" t="str">
        <f t="shared" si="4"/>
        <v/>
      </c>
      <c r="M79" s="239"/>
      <c r="N79" s="14">
        <f t="shared" si="7"/>
        <v>1</v>
      </c>
      <c r="T79" s="1">
        <f t="shared" si="5"/>
        <v>85</v>
      </c>
      <c r="U79" s="4" t="str">
        <f t="shared" si="6"/>
        <v/>
      </c>
      <c r="V79" s="4" t="e">
        <f>IF($V$3=$M$3,M79,U79*(1+'Rhaniad y Ddeiliadaeth (Cymru)'!C$118))</f>
        <v>#VALUE!</v>
      </c>
      <c r="W79" s="4" t="e">
        <f>V79*(1+'Rhaniad y Ddeiliadaeth (Cymru)'!D$118)</f>
        <v>#VALUE!</v>
      </c>
      <c r="X79" s="4" t="e">
        <f>W79*(1+'Rhaniad y Ddeiliadaeth (Cymru)'!E$118)</f>
        <v>#VALUE!</v>
      </c>
      <c r="Y79" s="4" t="e">
        <f>X79*(1+'Rhaniad y Ddeiliadaeth (Cymru)'!F$118)</f>
        <v>#VALUE!</v>
      </c>
      <c r="Z79" s="4" t="e">
        <f>Y79*(1+'Rhaniad y Ddeiliadaeth (Cymru)'!G$118)</f>
        <v>#VALUE!</v>
      </c>
      <c r="AB79" s="1">
        <v>85</v>
      </c>
      <c r="AC79" s="4">
        <f>IF('Rhaniad y Ddeiliadaeth (Cymru)'!$D$18="Data Cofrestrfa Tir",'Prisiau Tai (Canol. &amp; De-orll)'!D79,'Prisiau Tai (Canol. &amp; De-orll)'!V79)</f>
        <v>254530.38236004088</v>
      </c>
      <c r="AD79" s="4">
        <f>IF('Rhaniad y Ddeiliadaeth (Cymru)'!$D$18="Data Cofrestrfa Tir",'Prisiau Tai (Canol. &amp; De-orll)'!E79,'Prisiau Tai (Canol. &amp; De-orll)'!W79)</f>
        <v>255097.10818989872</v>
      </c>
      <c r="AE79" s="4">
        <f>IF('Rhaniad y Ddeiliadaeth (Cymru)'!$D$18="Data Cofrestrfa Tir",'Prisiau Tai (Canol. &amp; De-orll)'!F79,'Prisiau Tai (Canol. &amp; De-orll)'!X79)</f>
        <v>260587.91529074134</v>
      </c>
      <c r="AF79" s="4">
        <f>IF('Rhaniad y Ddeiliadaeth (Cymru)'!$D$18="Data Cofrestrfa Tir",'Prisiau Tai (Canol. &amp; De-orll)'!G79,'Prisiau Tai (Canol. &amp; De-orll)'!Y79)</f>
        <v>270750.62731371738</v>
      </c>
      <c r="AG79" s="4">
        <f>IF('Rhaniad y Ddeiliadaeth (Cymru)'!$D$18="Data Cofrestrfa Tir",'Prisiau Tai (Canol. &amp; De-orll)'!H79,'Prisiau Tai (Canol. &amp; De-orll)'!Z79)</f>
        <v>281981.34273121384</v>
      </c>
    </row>
    <row r="80" spans="2:33" x14ac:dyDescent="0.25">
      <c r="B80" s="20">
        <v>86</v>
      </c>
      <c r="C80" s="56">
        <v>250000</v>
      </c>
      <c r="D80" s="57">
        <f>C80*(1+'Rhaniad y Ddeiliadaeth (C&amp;De-o)'!C$118)</f>
        <v>257101.3963232736</v>
      </c>
      <c r="E80" s="57">
        <f>D80*(1+'Rhaniad y Ddeiliadaeth (C&amp;De-o)'!D$118)</f>
        <v>257673.84665646334</v>
      </c>
      <c r="F80" s="57">
        <f>E80*(1+'Rhaniad y Ddeiliadaeth (C&amp;De-o)'!E$118)</f>
        <v>263220.11645529431</v>
      </c>
      <c r="G80" s="57">
        <f>F80*(1+'Rhaniad y Ddeiliadaeth (C&amp;De-o)'!F$118)</f>
        <v>273485.48213506804</v>
      </c>
      <c r="H80" s="57">
        <f>G80*(1+'Rhaniad y Ddeiliadaeth (C&amp;De-o)'!G$118)</f>
        <v>284829.63912243821</v>
      </c>
      <c r="L80" s="62" t="str">
        <f t="shared" si="4"/>
        <v/>
      </c>
      <c r="M80" s="239"/>
      <c r="N80" s="14">
        <f t="shared" si="7"/>
        <v>1</v>
      </c>
      <c r="T80" s="1">
        <f t="shared" si="5"/>
        <v>86</v>
      </c>
      <c r="U80" s="4" t="str">
        <f t="shared" si="6"/>
        <v/>
      </c>
      <c r="V80" s="4" t="e">
        <f>IF($V$3=$M$3,M80,U80*(1+'Rhaniad y Ddeiliadaeth (Cymru)'!C$118))</f>
        <v>#VALUE!</v>
      </c>
      <c r="W80" s="4" t="e">
        <f>V80*(1+'Rhaniad y Ddeiliadaeth (Cymru)'!D$118)</f>
        <v>#VALUE!</v>
      </c>
      <c r="X80" s="4" t="e">
        <f>W80*(1+'Rhaniad y Ddeiliadaeth (Cymru)'!E$118)</f>
        <v>#VALUE!</v>
      </c>
      <c r="Y80" s="4" t="e">
        <f>X80*(1+'Rhaniad y Ddeiliadaeth (Cymru)'!F$118)</f>
        <v>#VALUE!</v>
      </c>
      <c r="Z80" s="4" t="e">
        <f>Y80*(1+'Rhaniad y Ddeiliadaeth (Cymru)'!G$118)</f>
        <v>#VALUE!</v>
      </c>
      <c r="AB80" s="1">
        <v>86</v>
      </c>
      <c r="AC80" s="4">
        <f>IF('Rhaniad y Ddeiliadaeth (Cymru)'!$D$18="Data Cofrestrfa Tir",'Prisiau Tai (Canol. &amp; De-orll)'!D80,'Prisiau Tai (Canol. &amp; De-orll)'!V80)</f>
        <v>257101.3963232736</v>
      </c>
      <c r="AD80" s="4">
        <f>IF('Rhaniad y Ddeiliadaeth (Cymru)'!$D$18="Data Cofrestrfa Tir",'Prisiau Tai (Canol. &amp; De-orll)'!E80,'Prisiau Tai (Canol. &amp; De-orll)'!W80)</f>
        <v>257673.84665646334</v>
      </c>
      <c r="AE80" s="4">
        <f>IF('Rhaniad y Ddeiliadaeth (Cymru)'!$D$18="Data Cofrestrfa Tir",'Prisiau Tai (Canol. &amp; De-orll)'!F80,'Prisiau Tai (Canol. &amp; De-orll)'!X80)</f>
        <v>263220.11645529431</v>
      </c>
      <c r="AF80" s="4">
        <f>IF('Rhaniad y Ddeiliadaeth (Cymru)'!$D$18="Data Cofrestrfa Tir",'Prisiau Tai (Canol. &amp; De-orll)'!G80,'Prisiau Tai (Canol. &amp; De-orll)'!Y80)</f>
        <v>273485.48213506804</v>
      </c>
      <c r="AG80" s="4">
        <f>IF('Rhaniad y Ddeiliadaeth (Cymru)'!$D$18="Data Cofrestrfa Tir",'Prisiau Tai (Canol. &amp; De-orll)'!H80,'Prisiau Tai (Canol. &amp; De-orll)'!Z80)</f>
        <v>284829.63912243821</v>
      </c>
    </row>
    <row r="81" spans="2:33" x14ac:dyDescent="0.25">
      <c r="B81" s="20">
        <v>87</v>
      </c>
      <c r="C81" s="56">
        <v>260000</v>
      </c>
      <c r="D81" s="57">
        <f>C81*(1+'Rhaniad y Ddeiliadaeth (C&amp;De-o)'!C$118)</f>
        <v>267385.45217620453</v>
      </c>
      <c r="E81" s="57">
        <f>D81*(1+'Rhaniad y Ddeiliadaeth (C&amp;De-o)'!D$118)</f>
        <v>267980.80052272184</v>
      </c>
      <c r="F81" s="57">
        <f>E81*(1+'Rhaniad y Ddeiliadaeth (C&amp;De-o)'!E$118)</f>
        <v>273748.92111350602</v>
      </c>
      <c r="G81" s="57">
        <f>F81*(1+'Rhaniad y Ddeiliadaeth (C&amp;De-o)'!F$118)</f>
        <v>284424.90142047073</v>
      </c>
      <c r="H81" s="57">
        <f>G81*(1+'Rhaniad y Ddeiliadaeth (C&amp;De-o)'!G$118)</f>
        <v>296222.8246873357</v>
      </c>
      <c r="L81" s="62" t="str">
        <f t="shared" si="4"/>
        <v/>
      </c>
      <c r="M81" s="239"/>
      <c r="N81" s="14">
        <f t="shared" si="7"/>
        <v>1</v>
      </c>
      <c r="T81" s="1">
        <f t="shared" si="5"/>
        <v>87</v>
      </c>
      <c r="U81" s="4" t="str">
        <f t="shared" si="6"/>
        <v/>
      </c>
      <c r="V81" s="4" t="e">
        <f>IF($V$3=$M$3,M81,U81*(1+'Rhaniad y Ddeiliadaeth (Cymru)'!C$118))</f>
        <v>#VALUE!</v>
      </c>
      <c r="W81" s="4" t="e">
        <f>V81*(1+'Rhaniad y Ddeiliadaeth (Cymru)'!D$118)</f>
        <v>#VALUE!</v>
      </c>
      <c r="X81" s="4" t="e">
        <f>W81*(1+'Rhaniad y Ddeiliadaeth (Cymru)'!E$118)</f>
        <v>#VALUE!</v>
      </c>
      <c r="Y81" s="4" t="e">
        <f>X81*(1+'Rhaniad y Ddeiliadaeth (Cymru)'!F$118)</f>
        <v>#VALUE!</v>
      </c>
      <c r="Z81" s="4" t="e">
        <f>Y81*(1+'Rhaniad y Ddeiliadaeth (Cymru)'!G$118)</f>
        <v>#VALUE!</v>
      </c>
      <c r="AB81" s="1">
        <v>87</v>
      </c>
      <c r="AC81" s="4">
        <f>IF('Rhaniad y Ddeiliadaeth (Cymru)'!$D$18="Data Cofrestrfa Tir",'Prisiau Tai (Canol. &amp; De-orll)'!D81,'Prisiau Tai (Canol. &amp; De-orll)'!V81)</f>
        <v>267385.45217620453</v>
      </c>
      <c r="AD81" s="4">
        <f>IF('Rhaniad y Ddeiliadaeth (Cymru)'!$D$18="Data Cofrestrfa Tir",'Prisiau Tai (Canol. &amp; De-orll)'!E81,'Prisiau Tai (Canol. &amp; De-orll)'!W81)</f>
        <v>267980.80052272184</v>
      </c>
      <c r="AE81" s="4">
        <f>IF('Rhaniad y Ddeiliadaeth (Cymru)'!$D$18="Data Cofrestrfa Tir",'Prisiau Tai (Canol. &amp; De-orll)'!F81,'Prisiau Tai (Canol. &amp; De-orll)'!X81)</f>
        <v>273748.92111350602</v>
      </c>
      <c r="AF81" s="4">
        <f>IF('Rhaniad y Ddeiliadaeth (Cymru)'!$D$18="Data Cofrestrfa Tir",'Prisiau Tai (Canol. &amp; De-orll)'!G81,'Prisiau Tai (Canol. &amp; De-orll)'!Y81)</f>
        <v>284424.90142047073</v>
      </c>
      <c r="AG81" s="4">
        <f>IF('Rhaniad y Ddeiliadaeth (Cymru)'!$D$18="Data Cofrestrfa Tir",'Prisiau Tai (Canol. &amp; De-orll)'!H81,'Prisiau Tai (Canol. &amp; De-orll)'!Z81)</f>
        <v>296222.8246873357</v>
      </c>
    </row>
    <row r="82" spans="2:33" x14ac:dyDescent="0.25">
      <c r="B82" s="20">
        <v>88</v>
      </c>
      <c r="C82" s="56">
        <v>268000</v>
      </c>
      <c r="D82" s="57">
        <f>C82*(1+'Rhaniad y Ddeiliadaeth (C&amp;De-o)'!C$118)</f>
        <v>275612.69685854932</v>
      </c>
      <c r="E82" s="57">
        <f>D82*(1+'Rhaniad y Ddeiliadaeth (C&amp;De-o)'!D$118)</f>
        <v>276226.36361572874</v>
      </c>
      <c r="F82" s="57">
        <f>E82*(1+'Rhaniad y Ddeiliadaeth (C&amp;De-o)'!E$118)</f>
        <v>282171.96484007552</v>
      </c>
      <c r="G82" s="57">
        <f>F82*(1+'Rhaniad y Ddeiliadaeth (C&amp;De-o)'!F$118)</f>
        <v>293176.436848793</v>
      </c>
      <c r="H82" s="57">
        <f>G82*(1+'Rhaniad y Ddeiliadaeth (C&amp;De-o)'!G$118)</f>
        <v>305337.37313925382</v>
      </c>
      <c r="L82" s="62" t="str">
        <f t="shared" si="4"/>
        <v/>
      </c>
      <c r="M82" s="239"/>
      <c r="N82" s="14">
        <f t="shared" si="7"/>
        <v>1</v>
      </c>
      <c r="T82" s="1">
        <f t="shared" si="5"/>
        <v>88</v>
      </c>
      <c r="U82" s="4" t="str">
        <f t="shared" si="6"/>
        <v/>
      </c>
      <c r="V82" s="4" t="e">
        <f>IF($V$3=$M$3,M82,U82*(1+'Rhaniad y Ddeiliadaeth (Cymru)'!C$118))</f>
        <v>#VALUE!</v>
      </c>
      <c r="W82" s="4" t="e">
        <f>V82*(1+'Rhaniad y Ddeiliadaeth (Cymru)'!D$118)</f>
        <v>#VALUE!</v>
      </c>
      <c r="X82" s="4" t="e">
        <f>W82*(1+'Rhaniad y Ddeiliadaeth (Cymru)'!E$118)</f>
        <v>#VALUE!</v>
      </c>
      <c r="Y82" s="4" t="e">
        <f>X82*(1+'Rhaniad y Ddeiliadaeth (Cymru)'!F$118)</f>
        <v>#VALUE!</v>
      </c>
      <c r="Z82" s="4" t="e">
        <f>Y82*(1+'Rhaniad y Ddeiliadaeth (Cymru)'!G$118)</f>
        <v>#VALUE!</v>
      </c>
      <c r="AB82" s="1">
        <v>88</v>
      </c>
      <c r="AC82" s="4">
        <f>IF('Rhaniad y Ddeiliadaeth (Cymru)'!$D$18="Data Cofrestrfa Tir",'Prisiau Tai (Canol. &amp; De-orll)'!D82,'Prisiau Tai (Canol. &amp; De-orll)'!V82)</f>
        <v>275612.69685854932</v>
      </c>
      <c r="AD82" s="4">
        <f>IF('Rhaniad y Ddeiliadaeth (Cymru)'!$D$18="Data Cofrestrfa Tir",'Prisiau Tai (Canol. &amp; De-orll)'!E82,'Prisiau Tai (Canol. &amp; De-orll)'!W82)</f>
        <v>276226.36361572874</v>
      </c>
      <c r="AE82" s="4">
        <f>IF('Rhaniad y Ddeiliadaeth (Cymru)'!$D$18="Data Cofrestrfa Tir",'Prisiau Tai (Canol. &amp; De-orll)'!F82,'Prisiau Tai (Canol. &amp; De-orll)'!X82)</f>
        <v>282171.96484007552</v>
      </c>
      <c r="AF82" s="4">
        <f>IF('Rhaniad y Ddeiliadaeth (Cymru)'!$D$18="Data Cofrestrfa Tir",'Prisiau Tai (Canol. &amp; De-orll)'!G82,'Prisiau Tai (Canol. &amp; De-orll)'!Y82)</f>
        <v>293176.436848793</v>
      </c>
      <c r="AG82" s="4">
        <f>IF('Rhaniad y Ddeiliadaeth (Cymru)'!$D$18="Data Cofrestrfa Tir",'Prisiau Tai (Canol. &amp; De-orll)'!H82,'Prisiau Tai (Canol. &amp; De-orll)'!Z82)</f>
        <v>305337.37313925382</v>
      </c>
    </row>
    <row r="83" spans="2:33" x14ac:dyDescent="0.25">
      <c r="B83" s="20">
        <v>89</v>
      </c>
      <c r="C83" s="56">
        <v>275000</v>
      </c>
      <c r="D83" s="57">
        <f>C83*(1+'Rhaniad y Ddeiliadaeth (C&amp;De-o)'!C$118)</f>
        <v>282811.53595560096</v>
      </c>
      <c r="E83" s="57">
        <f>D83*(1+'Rhaniad y Ddeiliadaeth (C&amp;De-o)'!D$118)</f>
        <v>283441.2313221097</v>
      </c>
      <c r="F83" s="57">
        <f>E83*(1+'Rhaniad y Ddeiliadaeth (C&amp;De-o)'!E$118)</f>
        <v>289542.12810082373</v>
      </c>
      <c r="G83" s="57">
        <f>F83*(1+'Rhaniad y Ddeiliadaeth (C&amp;De-o)'!F$118)</f>
        <v>300834.03034857486</v>
      </c>
      <c r="H83" s="57">
        <f>G83*(1+'Rhaniad y Ddeiliadaeth (C&amp;De-o)'!G$118)</f>
        <v>313312.60303468199</v>
      </c>
      <c r="L83" s="62" t="str">
        <f t="shared" si="4"/>
        <v/>
      </c>
      <c r="M83" s="239"/>
      <c r="N83" s="14">
        <f t="shared" si="7"/>
        <v>1</v>
      </c>
      <c r="T83" s="1">
        <f t="shared" si="5"/>
        <v>89</v>
      </c>
      <c r="U83" s="4" t="str">
        <f t="shared" si="6"/>
        <v/>
      </c>
      <c r="V83" s="4" t="e">
        <f>IF($V$3=$M$3,M83,U83*(1+'Rhaniad y Ddeiliadaeth (Cymru)'!C$118))</f>
        <v>#VALUE!</v>
      </c>
      <c r="W83" s="4" t="e">
        <f>V83*(1+'Rhaniad y Ddeiliadaeth (Cymru)'!D$118)</f>
        <v>#VALUE!</v>
      </c>
      <c r="X83" s="4" t="e">
        <f>W83*(1+'Rhaniad y Ddeiliadaeth (Cymru)'!E$118)</f>
        <v>#VALUE!</v>
      </c>
      <c r="Y83" s="4" t="e">
        <f>X83*(1+'Rhaniad y Ddeiliadaeth (Cymru)'!F$118)</f>
        <v>#VALUE!</v>
      </c>
      <c r="Z83" s="4" t="e">
        <f>Y83*(1+'Rhaniad y Ddeiliadaeth (Cymru)'!G$118)</f>
        <v>#VALUE!</v>
      </c>
      <c r="AB83" s="1">
        <v>89</v>
      </c>
      <c r="AC83" s="4">
        <f>IF('Rhaniad y Ddeiliadaeth (Cymru)'!$D$18="Data Cofrestrfa Tir",'Prisiau Tai (Canol. &amp; De-orll)'!D83,'Prisiau Tai (Canol. &amp; De-orll)'!V83)</f>
        <v>282811.53595560096</v>
      </c>
      <c r="AD83" s="4">
        <f>IF('Rhaniad y Ddeiliadaeth (Cymru)'!$D$18="Data Cofrestrfa Tir",'Prisiau Tai (Canol. &amp; De-orll)'!E83,'Prisiau Tai (Canol. &amp; De-orll)'!W83)</f>
        <v>283441.2313221097</v>
      </c>
      <c r="AE83" s="4">
        <f>IF('Rhaniad y Ddeiliadaeth (Cymru)'!$D$18="Data Cofrestrfa Tir",'Prisiau Tai (Canol. &amp; De-orll)'!F83,'Prisiau Tai (Canol. &amp; De-orll)'!X83)</f>
        <v>289542.12810082373</v>
      </c>
      <c r="AF83" s="4">
        <f>IF('Rhaniad y Ddeiliadaeth (Cymru)'!$D$18="Data Cofrestrfa Tir",'Prisiau Tai (Canol. &amp; De-orll)'!G83,'Prisiau Tai (Canol. &amp; De-orll)'!Y83)</f>
        <v>300834.03034857486</v>
      </c>
      <c r="AG83" s="4">
        <f>IF('Rhaniad y Ddeiliadaeth (Cymru)'!$D$18="Data Cofrestrfa Tir",'Prisiau Tai (Canol. &amp; De-orll)'!H83,'Prisiau Tai (Canol. &amp; De-orll)'!Z83)</f>
        <v>313312.60303468199</v>
      </c>
    </row>
    <row r="84" spans="2:33" x14ac:dyDescent="0.25">
      <c r="B84" s="23">
        <v>90</v>
      </c>
      <c r="C84" s="59">
        <v>280000</v>
      </c>
      <c r="D84" s="57">
        <f>C84*(1+'Rhaniad y Ddeiliadaeth (C&amp;De-o)'!C$118)</f>
        <v>287953.56388206646</v>
      </c>
      <c r="E84" s="57">
        <f>D84*(1+'Rhaniad y Ddeiliadaeth (C&amp;De-o)'!D$118)</f>
        <v>288594.70825523895</v>
      </c>
      <c r="F84" s="57">
        <f>E84*(1+'Rhaniad y Ddeiliadaeth (C&amp;De-o)'!E$118)</f>
        <v>294806.53042992961</v>
      </c>
      <c r="G84" s="57">
        <f>F84*(1+'Rhaniad y Ddeiliadaeth (C&amp;De-o)'!F$118)</f>
        <v>306303.73999127623</v>
      </c>
      <c r="H84" s="57">
        <f>G84*(1+'Rhaniad y Ddeiliadaeth (C&amp;De-o)'!G$118)</f>
        <v>319009.19581713079</v>
      </c>
      <c r="L84" s="63" t="str">
        <f t="shared" si="4"/>
        <v/>
      </c>
      <c r="M84" s="240"/>
      <c r="N84" s="14">
        <f t="shared" si="7"/>
        <v>1</v>
      </c>
      <c r="T84" s="1">
        <f t="shared" si="5"/>
        <v>90</v>
      </c>
      <c r="U84" s="4" t="str">
        <f t="shared" si="6"/>
        <v/>
      </c>
      <c r="V84" s="4" t="e">
        <f>IF($V$3=$M$3,M84,U84*(1+'Rhaniad y Ddeiliadaeth (Cymru)'!C$118))</f>
        <v>#VALUE!</v>
      </c>
      <c r="W84" s="4" t="e">
        <f>V84*(1+'Rhaniad y Ddeiliadaeth (Cymru)'!D$118)</f>
        <v>#VALUE!</v>
      </c>
      <c r="X84" s="4" t="e">
        <f>W84*(1+'Rhaniad y Ddeiliadaeth (Cymru)'!E$118)</f>
        <v>#VALUE!</v>
      </c>
      <c r="Y84" s="4" t="e">
        <f>X84*(1+'Rhaniad y Ddeiliadaeth (Cymru)'!F$118)</f>
        <v>#VALUE!</v>
      </c>
      <c r="Z84" s="4" t="e">
        <f>Y84*(1+'Rhaniad y Ddeiliadaeth (Cymru)'!G$118)</f>
        <v>#VALUE!</v>
      </c>
      <c r="AB84" s="1">
        <v>90</v>
      </c>
      <c r="AC84" s="4">
        <f>IF('Rhaniad y Ddeiliadaeth (Cymru)'!$D$18="Data Cofrestrfa Tir",'Prisiau Tai (Canol. &amp; De-orll)'!D84,'Prisiau Tai (Canol. &amp; De-orll)'!V84)</f>
        <v>287953.56388206646</v>
      </c>
      <c r="AD84" s="4">
        <f>IF('Rhaniad y Ddeiliadaeth (Cymru)'!$D$18="Data Cofrestrfa Tir",'Prisiau Tai (Canol. &amp; De-orll)'!E84,'Prisiau Tai (Canol. &amp; De-orll)'!W84)</f>
        <v>288594.70825523895</v>
      </c>
      <c r="AE84" s="4">
        <f>IF('Rhaniad y Ddeiliadaeth (Cymru)'!$D$18="Data Cofrestrfa Tir",'Prisiau Tai (Canol. &amp; De-orll)'!F84,'Prisiau Tai (Canol. &amp; De-orll)'!X84)</f>
        <v>294806.53042992961</v>
      </c>
      <c r="AF84" s="4">
        <f>IF('Rhaniad y Ddeiliadaeth (Cymru)'!$D$18="Data Cofrestrfa Tir",'Prisiau Tai (Canol. &amp; De-orll)'!G84,'Prisiau Tai (Canol. &amp; De-orll)'!Y84)</f>
        <v>306303.73999127623</v>
      </c>
      <c r="AG84" s="4">
        <f>IF('Rhaniad y Ddeiliadaeth (Cymru)'!$D$18="Data Cofrestrfa Tir",'Prisiau Tai (Canol. &amp; De-orll)'!H84,'Prisiau Tai (Canol. &amp; De-orll)'!Z84)</f>
        <v>319009.19581713079</v>
      </c>
    </row>
    <row r="85" spans="2:33" x14ac:dyDescent="0.25">
      <c r="N85" s="14">
        <f>IF(SUM(N4:N84)&gt;0,1,0)</f>
        <v>1</v>
      </c>
    </row>
  </sheetData>
  <sheetProtection sheet="1" objects="1" scenarios="1"/>
  <mergeCells count="3">
    <mergeCell ref="B2:H2"/>
    <mergeCell ref="J2:M2"/>
    <mergeCell ref="J9:J10"/>
  </mergeCells>
  <dataValidations count="2">
    <dataValidation type="list" allowBlank="1" showInputMessage="1" showErrorMessage="1" sqref="K4">
      <formula1>"2017,2018"</formula1>
    </dataValidation>
    <dataValidation type="decimal" operator="greaterThan" allowBlank="1" showInputMessage="1" showErrorMessage="1" sqref="M4:M84">
      <formula1>0</formula1>
    </dataValidation>
  </dataValidations>
  <pageMargins left="0.7" right="0.7" top="0.75" bottom="0.75" header="0.3" footer="0.3"/>
  <pageSetup paperSize="9" scale="42" orientation="portrait" horizontalDpi="300" verticalDpi="300"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AG85"/>
  <sheetViews>
    <sheetView showGridLines="0" workbookViewId="0"/>
  </sheetViews>
  <sheetFormatPr defaultColWidth="9.140625" defaultRowHeight="15" x14ac:dyDescent="0.25"/>
  <cols>
    <col min="1" max="1" width="2.140625" style="1" customWidth="1"/>
    <col min="2" max="2" width="10.140625" style="1" bestFit="1" customWidth="1"/>
    <col min="3" max="3" width="9.140625" style="1"/>
    <col min="4" max="8" width="10.140625" style="1" bestFit="1" customWidth="1"/>
    <col min="9" max="9" width="9.140625" style="1"/>
    <col min="10" max="10" width="65" style="1" customWidth="1"/>
    <col min="11" max="11" width="9.140625" style="1"/>
    <col min="12" max="12" width="10.140625" style="1" customWidth="1"/>
    <col min="13" max="13" width="9.140625" style="1"/>
    <col min="14" max="14" width="9.140625" style="1" hidden="1" customWidth="1"/>
    <col min="15" max="19" width="9.140625" style="1"/>
    <col min="20" max="20" width="9.140625" style="1" hidden="1" customWidth="1"/>
    <col min="21" max="26" width="10.140625" style="1" hidden="1" customWidth="1"/>
    <col min="27" max="28" width="9.140625" style="1" customWidth="1"/>
    <col min="29" max="29" width="10.140625" style="1" customWidth="1"/>
    <col min="30" max="33" width="9.140625" style="1" customWidth="1"/>
    <col min="34" max="16384" width="9.140625" style="1"/>
  </cols>
  <sheetData>
    <row r="1" spans="2:33" ht="9.75" customHeight="1" x14ac:dyDescent="0.25"/>
    <row r="2" spans="2:33" ht="26.25" customHeight="1" x14ac:dyDescent="0.25">
      <c r="B2" s="414" t="s">
        <v>146</v>
      </c>
      <c r="C2" s="415"/>
      <c r="D2" s="415"/>
      <c r="E2" s="415"/>
      <c r="F2" s="415"/>
      <c r="G2" s="415"/>
      <c r="H2" s="416"/>
      <c r="J2" s="417" t="s">
        <v>145</v>
      </c>
      <c r="K2" s="418"/>
      <c r="L2" s="418"/>
      <c r="M2" s="419"/>
      <c r="N2" s="65"/>
      <c r="U2" s="1" t="s">
        <v>295</v>
      </c>
      <c r="AB2" s="1" t="s">
        <v>296</v>
      </c>
    </row>
    <row r="3" spans="2:33" x14ac:dyDescent="0.25">
      <c r="B3" s="34" t="s">
        <v>144</v>
      </c>
      <c r="C3" s="35">
        <v>2017</v>
      </c>
      <c r="D3" s="35">
        <v>2018</v>
      </c>
      <c r="E3" s="35">
        <v>2019</v>
      </c>
      <c r="F3" s="35">
        <v>2020</v>
      </c>
      <c r="G3" s="35">
        <v>2021</v>
      </c>
      <c r="H3" s="55">
        <v>2022</v>
      </c>
      <c r="L3" s="34" t="s">
        <v>144</v>
      </c>
      <c r="M3" s="64">
        <f>K4</f>
        <v>0</v>
      </c>
      <c r="N3" s="66" t="s">
        <v>298</v>
      </c>
      <c r="U3" s="1">
        <v>2017</v>
      </c>
      <c r="V3" s="1">
        <v>2018</v>
      </c>
      <c r="W3" s="1">
        <v>2019</v>
      </c>
      <c r="X3" s="1">
        <v>2020</v>
      </c>
      <c r="Y3" s="1">
        <v>2021</v>
      </c>
      <c r="Z3" s="1">
        <v>2022</v>
      </c>
      <c r="AC3" s="1" t="s">
        <v>0</v>
      </c>
      <c r="AD3" s="1" t="s">
        <v>1</v>
      </c>
      <c r="AE3" s="1" t="s">
        <v>2</v>
      </c>
      <c r="AF3" s="1" t="s">
        <v>3</v>
      </c>
      <c r="AG3" s="1" t="s">
        <v>4</v>
      </c>
    </row>
    <row r="4" spans="2:33" x14ac:dyDescent="0.25">
      <c r="B4" s="20">
        <v>10</v>
      </c>
      <c r="C4" s="56">
        <v>72000</v>
      </c>
      <c r="D4" s="57">
        <f>C4*(1+'Rhaniad y Ddeiliadaeth (De-ddn)'!C$118)</f>
        <v>74045.202141102796</v>
      </c>
      <c r="E4" s="57">
        <f>D4*(1+'Rhaniad y Ddeiliadaeth (De-ddn)'!D$118)</f>
        <v>74210.067837061433</v>
      </c>
      <c r="F4" s="57">
        <f>E4*(1+'Rhaniad y Ddeiliadaeth (De-ddn)'!E$118)</f>
        <v>75807.393539124736</v>
      </c>
      <c r="G4" s="57">
        <f>F4*(1+'Rhaniad y Ddeiliadaeth (De-ddn)'!F$118)</f>
        <v>78763.818854899582</v>
      </c>
      <c r="H4" s="58">
        <f>G4*(1+'Rhaniad y Ddeiliadaeth (De-ddn)'!G$118)</f>
        <v>82030.936067262184</v>
      </c>
      <c r="I4" s="4"/>
      <c r="J4" s="67" t="str">
        <f>IF('Rhaniad y Ddeiliadaeth (Cymru)'!D18="Arall","Choose what year of data you would like to enter:","")</f>
        <v/>
      </c>
      <c r="K4" s="238"/>
      <c r="L4" s="62" t="str">
        <f t="shared" ref="L4:L67" si="0">IF(ISBLANK($K$4),"",B4)</f>
        <v/>
      </c>
      <c r="M4" s="239"/>
      <c r="N4" s="14">
        <f>IF(ISBLANK(M4),1,0)</f>
        <v>1</v>
      </c>
      <c r="O4" s="11" t="str">
        <f>IF(J4="","",IF(N85=1,"&lt;&lt; Ychwanegwch ddata pob canradd fan hyn",""))</f>
        <v/>
      </c>
      <c r="T4" s="1">
        <f t="shared" ref="T4:T67" si="1">B4</f>
        <v>10</v>
      </c>
      <c r="U4" s="4" t="str">
        <f t="shared" ref="U4:U67" si="2">IF($M$3=$U$3,M4,"")</f>
        <v/>
      </c>
      <c r="V4" s="4" t="e">
        <f>IF($V$3=$M$3,M4,U4*(1+'Rhaniad y Ddeiliadaeth (Cymru)'!C$118))</f>
        <v>#VALUE!</v>
      </c>
      <c r="W4" s="4" t="e">
        <f>V4*(1+'Rhaniad y Ddeiliadaeth (Cymru)'!D$118)</f>
        <v>#VALUE!</v>
      </c>
      <c r="X4" s="4" t="e">
        <f>W4*(1+'Rhaniad y Ddeiliadaeth (Cymru)'!E$118)</f>
        <v>#VALUE!</v>
      </c>
      <c r="Y4" s="4" t="e">
        <f>X4*(1+'Rhaniad y Ddeiliadaeth (Cymru)'!F$118)</f>
        <v>#VALUE!</v>
      </c>
      <c r="Z4" s="4" t="e">
        <f>Y4*(1+'Rhaniad y Ddeiliadaeth (Cymru)'!G$118)</f>
        <v>#VALUE!</v>
      </c>
      <c r="AB4" s="1">
        <v>10</v>
      </c>
      <c r="AC4" s="4">
        <f>IF('Rhaniad y Ddeiliadaeth (Cymru)'!$D$18="Data Cofrestrfa Tir",'Prisiau Tai (De-ddwyrain)'!D4,'Prisiau Tai (De-ddwyrain)'!V4)</f>
        <v>74045.202141102796</v>
      </c>
      <c r="AD4" s="4">
        <f>IF('Rhaniad y Ddeiliadaeth (Cymru)'!$D$18="Data Cofrestrfa Tir",'Prisiau Tai (De-ddwyrain)'!E4,'Prisiau Tai (De-ddwyrain)'!W4)</f>
        <v>74210.067837061433</v>
      </c>
      <c r="AE4" s="4">
        <f>IF('Rhaniad y Ddeiliadaeth (Cymru)'!$D$18="Data Cofrestrfa Tir",'Prisiau Tai (De-ddwyrain)'!F4,'Prisiau Tai (De-ddwyrain)'!X4)</f>
        <v>75807.393539124736</v>
      </c>
      <c r="AF4" s="4">
        <f>IF('Rhaniad y Ddeiliadaeth (Cymru)'!$D$18="Data Cofrestrfa Tir",'Prisiau Tai (De-ddwyrain)'!G4,'Prisiau Tai (De-ddwyrain)'!Y4)</f>
        <v>78763.818854899582</v>
      </c>
      <c r="AG4" s="4">
        <f>IF('Rhaniad y Ddeiliadaeth (Cymru)'!$D$18="Data Cofrestrfa Tir",'Prisiau Tai (De-ddwyrain)'!H4,'Prisiau Tai (De-ddwyrain)'!Z4)</f>
        <v>82030.936067262184</v>
      </c>
    </row>
    <row r="5" spans="2:33" x14ac:dyDescent="0.25">
      <c r="B5" s="20">
        <v>11</v>
      </c>
      <c r="C5" s="56">
        <v>75000</v>
      </c>
      <c r="D5" s="57">
        <f>C5*(1+'Rhaniad y Ddeiliadaeth (De-ddn)'!C$118)</f>
        <v>77130.418896982083</v>
      </c>
      <c r="E5" s="57">
        <f>D5*(1+'Rhaniad y Ddeiliadaeth (De-ddn)'!D$118)</f>
        <v>77302.153996939</v>
      </c>
      <c r="F5" s="57">
        <f>E5*(1+'Rhaniad y Ddeiliadaeth (De-ddn)'!E$118)</f>
        <v>78966.034936588287</v>
      </c>
      <c r="G5" s="57">
        <f>F5*(1+'Rhaniad y Ddeiliadaeth (De-ddn)'!F$118)</f>
        <v>82045.644640520419</v>
      </c>
      <c r="H5" s="58">
        <f>G5*(1+'Rhaniad y Ddeiliadaeth (De-ddn)'!G$118)</f>
        <v>85448.891736731457</v>
      </c>
      <c r="J5" s="68" t="str">
        <f>IF(J4="","","Dim ond data ar gyfer un flwyddyn sydd angen i chi ychwanegu (unai 2017 neu 2018)")</f>
        <v/>
      </c>
      <c r="L5" s="62" t="str">
        <f t="shared" si="0"/>
        <v/>
      </c>
      <c r="M5" s="239"/>
      <c r="N5" s="14">
        <f t="shared" ref="N5:N68" si="3">IF(ISBLANK(M5),1,0)</f>
        <v>1</v>
      </c>
      <c r="T5" s="1">
        <f t="shared" si="1"/>
        <v>11</v>
      </c>
      <c r="U5" s="4" t="str">
        <f t="shared" si="2"/>
        <v/>
      </c>
      <c r="V5" s="4" t="e">
        <f>IF($V$3=$M$3,M5,U5*(1+'Rhaniad y Ddeiliadaeth (Cymru)'!C$118))</f>
        <v>#VALUE!</v>
      </c>
      <c r="W5" s="4" t="e">
        <f>V5*(1+'Rhaniad y Ddeiliadaeth (Cymru)'!D$118)</f>
        <v>#VALUE!</v>
      </c>
      <c r="X5" s="4" t="e">
        <f>W5*(1+'Rhaniad y Ddeiliadaeth (Cymru)'!E$118)</f>
        <v>#VALUE!</v>
      </c>
      <c r="Y5" s="4" t="e">
        <f>X5*(1+'Rhaniad y Ddeiliadaeth (Cymru)'!F$118)</f>
        <v>#VALUE!</v>
      </c>
      <c r="Z5" s="4" t="e">
        <f>Y5*(1+'Rhaniad y Ddeiliadaeth (Cymru)'!G$118)</f>
        <v>#VALUE!</v>
      </c>
      <c r="AB5" s="1">
        <v>11</v>
      </c>
      <c r="AC5" s="4">
        <f>IF('Rhaniad y Ddeiliadaeth (Cymru)'!$D$18="Data Cofrestrfa Tir",'Prisiau Tai (De-ddwyrain)'!D5,'Prisiau Tai (De-ddwyrain)'!V5)</f>
        <v>77130.418896982083</v>
      </c>
      <c r="AD5" s="4">
        <f>IF('Rhaniad y Ddeiliadaeth (Cymru)'!$D$18="Data Cofrestrfa Tir",'Prisiau Tai (De-ddwyrain)'!E5,'Prisiau Tai (De-ddwyrain)'!W5)</f>
        <v>77302.153996939</v>
      </c>
      <c r="AE5" s="4">
        <f>IF('Rhaniad y Ddeiliadaeth (Cymru)'!$D$18="Data Cofrestrfa Tir",'Prisiau Tai (De-ddwyrain)'!F5,'Prisiau Tai (De-ddwyrain)'!X5)</f>
        <v>78966.034936588287</v>
      </c>
      <c r="AF5" s="4">
        <f>IF('Rhaniad y Ddeiliadaeth (Cymru)'!$D$18="Data Cofrestrfa Tir",'Prisiau Tai (De-ddwyrain)'!G5,'Prisiau Tai (De-ddwyrain)'!Y5)</f>
        <v>82045.644640520419</v>
      </c>
      <c r="AG5" s="4">
        <f>IF('Rhaniad y Ddeiliadaeth (Cymru)'!$D$18="Data Cofrestrfa Tir",'Prisiau Tai (De-ddwyrain)'!H5,'Prisiau Tai (De-ddwyrain)'!Z5)</f>
        <v>85448.891736731457</v>
      </c>
    </row>
    <row r="6" spans="2:33" x14ac:dyDescent="0.25">
      <c r="B6" s="20">
        <v>12</v>
      </c>
      <c r="C6" s="56">
        <v>77500</v>
      </c>
      <c r="D6" s="57">
        <f>C6*(1+'Rhaniad y Ddeiliadaeth (De-ddn)'!C$118)</f>
        <v>79701.432860214816</v>
      </c>
      <c r="E6" s="57">
        <f>D6*(1+'Rhaniad y Ddeiliadaeth (De-ddn)'!D$118)</f>
        <v>79878.892463503638</v>
      </c>
      <c r="F6" s="57">
        <f>E6*(1+'Rhaniad y Ddeiliadaeth (De-ddn)'!E$118)</f>
        <v>81598.236101141229</v>
      </c>
      <c r="G6" s="57">
        <f>F6*(1+'Rhaniad y Ddeiliadaeth (De-ddn)'!F$118)</f>
        <v>84780.499461871092</v>
      </c>
      <c r="H6" s="58">
        <f>G6*(1+'Rhaniad y Ddeiliadaeth (De-ddn)'!G$118)</f>
        <v>88297.188127955829</v>
      </c>
      <c r="L6" s="62" t="str">
        <f t="shared" si="0"/>
        <v/>
      </c>
      <c r="M6" s="239"/>
      <c r="N6" s="14">
        <f t="shared" si="3"/>
        <v>1</v>
      </c>
      <c r="T6" s="1">
        <f t="shared" si="1"/>
        <v>12</v>
      </c>
      <c r="U6" s="4" t="str">
        <f t="shared" si="2"/>
        <v/>
      </c>
      <c r="V6" s="4" t="e">
        <f>IF($V$3=$M$3,M6,U6*(1+'Rhaniad y Ddeiliadaeth (Cymru)'!C$118))</f>
        <v>#VALUE!</v>
      </c>
      <c r="W6" s="4" t="e">
        <f>V6*(1+'Rhaniad y Ddeiliadaeth (Cymru)'!D$118)</f>
        <v>#VALUE!</v>
      </c>
      <c r="X6" s="4" t="e">
        <f>W6*(1+'Rhaniad y Ddeiliadaeth (Cymru)'!E$118)</f>
        <v>#VALUE!</v>
      </c>
      <c r="Y6" s="4" t="e">
        <f>X6*(1+'Rhaniad y Ddeiliadaeth (Cymru)'!F$118)</f>
        <v>#VALUE!</v>
      </c>
      <c r="Z6" s="4" t="e">
        <f>Y6*(1+'Rhaniad y Ddeiliadaeth (Cymru)'!G$118)</f>
        <v>#VALUE!</v>
      </c>
      <c r="AB6" s="1">
        <v>12</v>
      </c>
      <c r="AC6" s="4">
        <f>IF('Rhaniad y Ddeiliadaeth (Cymru)'!$D$18="Data Cofrestrfa Tir",'Prisiau Tai (De-ddwyrain)'!D6,'Prisiau Tai (De-ddwyrain)'!V6)</f>
        <v>79701.432860214816</v>
      </c>
      <c r="AD6" s="4">
        <f>IF('Rhaniad y Ddeiliadaeth (Cymru)'!$D$18="Data Cofrestrfa Tir",'Prisiau Tai (De-ddwyrain)'!E6,'Prisiau Tai (De-ddwyrain)'!W6)</f>
        <v>79878.892463503638</v>
      </c>
      <c r="AE6" s="4">
        <f>IF('Rhaniad y Ddeiliadaeth (Cymru)'!$D$18="Data Cofrestrfa Tir",'Prisiau Tai (De-ddwyrain)'!F6,'Prisiau Tai (De-ddwyrain)'!X6)</f>
        <v>81598.236101141229</v>
      </c>
      <c r="AF6" s="4">
        <f>IF('Rhaniad y Ddeiliadaeth (Cymru)'!$D$18="Data Cofrestrfa Tir",'Prisiau Tai (De-ddwyrain)'!G6,'Prisiau Tai (De-ddwyrain)'!Y6)</f>
        <v>84780.499461871092</v>
      </c>
      <c r="AG6" s="4">
        <f>IF('Rhaniad y Ddeiliadaeth (Cymru)'!$D$18="Data Cofrestrfa Tir",'Prisiau Tai (De-ddwyrain)'!H6,'Prisiau Tai (De-ddwyrain)'!Z6)</f>
        <v>88297.188127955829</v>
      </c>
    </row>
    <row r="7" spans="2:33" x14ac:dyDescent="0.25">
      <c r="B7" s="20">
        <v>13</v>
      </c>
      <c r="C7" s="56">
        <v>80000</v>
      </c>
      <c r="D7" s="57">
        <f>C7*(1+'Rhaniad y Ddeiliadaeth (De-ddn)'!C$118)</f>
        <v>82272.44682344755</v>
      </c>
      <c r="E7" s="57">
        <f>D7*(1+'Rhaniad y Ddeiliadaeth (De-ddn)'!D$118)</f>
        <v>82455.630930068262</v>
      </c>
      <c r="F7" s="57">
        <f>E7*(1+'Rhaniad y Ddeiliadaeth (De-ddn)'!E$118)</f>
        <v>84230.437265694156</v>
      </c>
      <c r="G7" s="57">
        <f>F7*(1+'Rhaniad y Ddeiliadaeth (De-ddn)'!F$118)</f>
        <v>87515.354283221764</v>
      </c>
      <c r="H7" s="58">
        <f>G7*(1+'Rhaniad y Ddeiliadaeth (De-ddn)'!G$118)</f>
        <v>91145.484519180216</v>
      </c>
      <c r="J7" s="11" t="str">
        <f>IF(J4="","",IF(N85=1,"Mewnbwn y defnyddiwr yn anghyflawn",IF(N85=0,"Mewnbwn y defnyddiwr yn gyflawn","")))</f>
        <v/>
      </c>
      <c r="L7" s="62" t="str">
        <f t="shared" si="0"/>
        <v/>
      </c>
      <c r="M7" s="239"/>
      <c r="N7" s="14">
        <f t="shared" si="3"/>
        <v>1</v>
      </c>
      <c r="T7" s="1">
        <f t="shared" si="1"/>
        <v>13</v>
      </c>
      <c r="U7" s="4" t="str">
        <f t="shared" si="2"/>
        <v/>
      </c>
      <c r="V7" s="4" t="e">
        <f>IF($V$3=$M$3,M7,U7*(1+'Rhaniad y Ddeiliadaeth (Cymru)'!C$118))</f>
        <v>#VALUE!</v>
      </c>
      <c r="W7" s="4" t="e">
        <f>V7*(1+'Rhaniad y Ddeiliadaeth (Cymru)'!D$118)</f>
        <v>#VALUE!</v>
      </c>
      <c r="X7" s="4" t="e">
        <f>W7*(1+'Rhaniad y Ddeiliadaeth (Cymru)'!E$118)</f>
        <v>#VALUE!</v>
      </c>
      <c r="Y7" s="4" t="e">
        <f>X7*(1+'Rhaniad y Ddeiliadaeth (Cymru)'!F$118)</f>
        <v>#VALUE!</v>
      </c>
      <c r="Z7" s="4" t="e">
        <f>Y7*(1+'Rhaniad y Ddeiliadaeth (Cymru)'!G$118)</f>
        <v>#VALUE!</v>
      </c>
      <c r="AB7" s="1">
        <v>13</v>
      </c>
      <c r="AC7" s="4">
        <f>IF('Rhaniad y Ddeiliadaeth (Cymru)'!$D$18="Data Cofrestrfa Tir",'Prisiau Tai (De-ddwyrain)'!D7,'Prisiau Tai (De-ddwyrain)'!V7)</f>
        <v>82272.44682344755</v>
      </c>
      <c r="AD7" s="4">
        <f>IF('Rhaniad y Ddeiliadaeth (Cymru)'!$D$18="Data Cofrestrfa Tir",'Prisiau Tai (De-ddwyrain)'!E7,'Prisiau Tai (De-ddwyrain)'!W7)</f>
        <v>82455.630930068262</v>
      </c>
      <c r="AE7" s="4">
        <f>IF('Rhaniad y Ddeiliadaeth (Cymru)'!$D$18="Data Cofrestrfa Tir",'Prisiau Tai (De-ddwyrain)'!F7,'Prisiau Tai (De-ddwyrain)'!X7)</f>
        <v>84230.437265694156</v>
      </c>
      <c r="AF7" s="4">
        <f>IF('Rhaniad y Ddeiliadaeth (Cymru)'!$D$18="Data Cofrestrfa Tir",'Prisiau Tai (De-ddwyrain)'!G7,'Prisiau Tai (De-ddwyrain)'!Y7)</f>
        <v>87515.354283221764</v>
      </c>
      <c r="AG7" s="4">
        <f>IF('Rhaniad y Ddeiliadaeth (Cymru)'!$D$18="Data Cofrestrfa Tir",'Prisiau Tai (De-ddwyrain)'!H7,'Prisiau Tai (De-ddwyrain)'!Z7)</f>
        <v>91145.484519180216</v>
      </c>
    </row>
    <row r="8" spans="2:33" x14ac:dyDescent="0.25">
      <c r="B8" s="20">
        <v>14</v>
      </c>
      <c r="C8" s="56">
        <v>82000</v>
      </c>
      <c r="D8" s="57">
        <f>C8*(1+'Rhaniad y Ddeiliadaeth (De-ddn)'!C$118)</f>
        <v>84329.257994033745</v>
      </c>
      <c r="E8" s="57">
        <f>D8*(1+'Rhaniad y Ddeiliadaeth (De-ddn)'!D$118)</f>
        <v>84517.021703319973</v>
      </c>
      <c r="F8" s="57">
        <f>E8*(1+'Rhaniad y Ddeiliadaeth (De-ddn)'!E$118)</f>
        <v>86336.198197336518</v>
      </c>
      <c r="G8" s="57">
        <f>F8*(1+'Rhaniad y Ddeiliadaeth (De-ddn)'!F$118)</f>
        <v>89703.238140302317</v>
      </c>
      <c r="H8" s="58">
        <f>G8*(1+'Rhaniad y Ddeiliadaeth (De-ddn)'!G$118)</f>
        <v>93424.121632159731</v>
      </c>
      <c r="L8" s="62" t="str">
        <f t="shared" si="0"/>
        <v/>
      </c>
      <c r="M8" s="239"/>
      <c r="N8" s="14">
        <f t="shared" si="3"/>
        <v>1</v>
      </c>
      <c r="T8" s="1">
        <f t="shared" si="1"/>
        <v>14</v>
      </c>
      <c r="U8" s="4" t="str">
        <f t="shared" si="2"/>
        <v/>
      </c>
      <c r="V8" s="4" t="e">
        <f>IF($V$3=$M$3,M8,U8*(1+'Rhaniad y Ddeiliadaeth (Cymru)'!C$118))</f>
        <v>#VALUE!</v>
      </c>
      <c r="W8" s="4" t="e">
        <f>V8*(1+'Rhaniad y Ddeiliadaeth (Cymru)'!D$118)</f>
        <v>#VALUE!</v>
      </c>
      <c r="X8" s="4" t="e">
        <f>W8*(1+'Rhaniad y Ddeiliadaeth (Cymru)'!E$118)</f>
        <v>#VALUE!</v>
      </c>
      <c r="Y8" s="4" t="e">
        <f>X8*(1+'Rhaniad y Ddeiliadaeth (Cymru)'!F$118)</f>
        <v>#VALUE!</v>
      </c>
      <c r="Z8" s="4" t="e">
        <f>Y8*(1+'Rhaniad y Ddeiliadaeth (Cymru)'!G$118)</f>
        <v>#VALUE!</v>
      </c>
      <c r="AB8" s="1">
        <v>14</v>
      </c>
      <c r="AC8" s="4">
        <f>IF('Rhaniad y Ddeiliadaeth (Cymru)'!$D$18="Data Cofrestrfa Tir",'Prisiau Tai (De-ddwyrain)'!D8,'Prisiau Tai (De-ddwyrain)'!V8)</f>
        <v>84329.257994033745</v>
      </c>
      <c r="AD8" s="4">
        <f>IF('Rhaniad y Ddeiliadaeth (Cymru)'!$D$18="Data Cofrestrfa Tir",'Prisiau Tai (De-ddwyrain)'!E8,'Prisiau Tai (De-ddwyrain)'!W8)</f>
        <v>84517.021703319973</v>
      </c>
      <c r="AE8" s="4">
        <f>IF('Rhaniad y Ddeiliadaeth (Cymru)'!$D$18="Data Cofrestrfa Tir",'Prisiau Tai (De-ddwyrain)'!F8,'Prisiau Tai (De-ddwyrain)'!X8)</f>
        <v>86336.198197336518</v>
      </c>
      <c r="AF8" s="4">
        <f>IF('Rhaniad y Ddeiliadaeth (Cymru)'!$D$18="Data Cofrestrfa Tir",'Prisiau Tai (De-ddwyrain)'!G8,'Prisiau Tai (De-ddwyrain)'!Y8)</f>
        <v>89703.238140302317</v>
      </c>
      <c r="AG8" s="4">
        <f>IF('Rhaniad y Ddeiliadaeth (Cymru)'!$D$18="Data Cofrestrfa Tir",'Prisiau Tai (De-ddwyrain)'!H8,'Prisiau Tai (De-ddwyrain)'!Z8)</f>
        <v>93424.121632159731</v>
      </c>
    </row>
    <row r="9" spans="2:33" x14ac:dyDescent="0.25">
      <c r="B9" s="20">
        <v>15</v>
      </c>
      <c r="C9" s="56">
        <v>84000</v>
      </c>
      <c r="D9" s="57">
        <f>C9*(1+'Rhaniad y Ddeiliadaeth (De-ddn)'!C$118)</f>
        <v>86386.069164619927</v>
      </c>
      <c r="E9" s="57">
        <f>D9*(1+'Rhaniad y Ddeiliadaeth (De-ddn)'!D$118)</f>
        <v>86578.412476571684</v>
      </c>
      <c r="F9" s="57">
        <f>E9*(1+'Rhaniad y Ddeiliadaeth (De-ddn)'!E$118)</f>
        <v>88441.95912897888</v>
      </c>
      <c r="G9" s="57">
        <f>F9*(1+'Rhaniad y Ddeiliadaeth (De-ddn)'!F$118)</f>
        <v>91891.12199738287</v>
      </c>
      <c r="H9" s="58">
        <f>G9*(1+'Rhaniad y Ddeiliadaeth (De-ddn)'!G$118)</f>
        <v>95702.758745139232</v>
      </c>
      <c r="J9" s="420" t="str">
        <f>IF(J4="","Os hoffech ddefnyddio data eich hunain ar gyfer dosbarthiad prisiau tai, newidwch eich dewislen.","")</f>
        <v>Os hoffech ddefnyddio data eich hunain ar gyfer dosbarthiad prisiau tai, newidwch eich dewislen.</v>
      </c>
      <c r="L9" s="62" t="str">
        <f t="shared" si="0"/>
        <v/>
      </c>
      <c r="M9" s="239"/>
      <c r="N9" s="14">
        <f t="shared" si="3"/>
        <v>1</v>
      </c>
      <c r="T9" s="1">
        <f t="shared" si="1"/>
        <v>15</v>
      </c>
      <c r="U9" s="4" t="str">
        <f t="shared" si="2"/>
        <v/>
      </c>
      <c r="V9" s="4" t="e">
        <f>IF($V$3=$M$3,M9,U9*(1+'Rhaniad y Ddeiliadaeth (Cymru)'!C$118))</f>
        <v>#VALUE!</v>
      </c>
      <c r="W9" s="4" t="e">
        <f>V9*(1+'Rhaniad y Ddeiliadaeth (Cymru)'!D$118)</f>
        <v>#VALUE!</v>
      </c>
      <c r="X9" s="4" t="e">
        <f>W9*(1+'Rhaniad y Ddeiliadaeth (Cymru)'!E$118)</f>
        <v>#VALUE!</v>
      </c>
      <c r="Y9" s="4" t="e">
        <f>X9*(1+'Rhaniad y Ddeiliadaeth (Cymru)'!F$118)</f>
        <v>#VALUE!</v>
      </c>
      <c r="Z9" s="4" t="e">
        <f>Y9*(1+'Rhaniad y Ddeiliadaeth (Cymru)'!G$118)</f>
        <v>#VALUE!</v>
      </c>
      <c r="AB9" s="1">
        <v>15</v>
      </c>
      <c r="AC9" s="4">
        <f>IF('Rhaniad y Ddeiliadaeth (Cymru)'!$D$18="Data Cofrestrfa Tir",'Prisiau Tai (De-ddwyrain)'!D9,'Prisiau Tai (De-ddwyrain)'!V9)</f>
        <v>86386.069164619927</v>
      </c>
      <c r="AD9" s="4">
        <f>IF('Rhaniad y Ddeiliadaeth (Cymru)'!$D$18="Data Cofrestrfa Tir",'Prisiau Tai (De-ddwyrain)'!E9,'Prisiau Tai (De-ddwyrain)'!W9)</f>
        <v>86578.412476571684</v>
      </c>
      <c r="AE9" s="4">
        <f>IF('Rhaniad y Ddeiliadaeth (Cymru)'!$D$18="Data Cofrestrfa Tir",'Prisiau Tai (De-ddwyrain)'!F9,'Prisiau Tai (De-ddwyrain)'!X9)</f>
        <v>88441.95912897888</v>
      </c>
      <c r="AF9" s="4">
        <f>IF('Rhaniad y Ddeiliadaeth (Cymru)'!$D$18="Data Cofrestrfa Tir",'Prisiau Tai (De-ddwyrain)'!G9,'Prisiau Tai (De-ddwyrain)'!Y9)</f>
        <v>91891.12199738287</v>
      </c>
      <c r="AG9" s="4">
        <f>IF('Rhaniad y Ddeiliadaeth (Cymru)'!$D$18="Data Cofrestrfa Tir",'Prisiau Tai (De-ddwyrain)'!H9,'Prisiau Tai (De-ddwyrain)'!Z9)</f>
        <v>95702.758745139232</v>
      </c>
    </row>
    <row r="10" spans="2:33" x14ac:dyDescent="0.25">
      <c r="B10" s="20">
        <v>16</v>
      </c>
      <c r="C10" s="56">
        <v>85536.000000000029</v>
      </c>
      <c r="D10" s="57">
        <f>C10*(1+'Rhaniad y Ddeiliadaeth (De-ddn)'!C$118)</f>
        <v>87965.700143630151</v>
      </c>
      <c r="E10" s="57">
        <f>D10*(1+'Rhaniad y Ddeiliadaeth (De-ddn)'!D$118)</f>
        <v>88161.560590429013</v>
      </c>
      <c r="F10" s="57">
        <f>E10*(1+'Rhaniad y Ddeiliadaeth (De-ddn)'!E$118)</f>
        <v>90059.183524480221</v>
      </c>
      <c r="G10" s="57">
        <f>F10*(1+'Rhaniad y Ddeiliadaeth (De-ddn)'!F$118)</f>
        <v>93571.41679962074</v>
      </c>
      <c r="H10" s="58">
        <f>G10*(1+'Rhaniad y Ddeiliadaeth (De-ddn)'!G$118)</f>
        <v>97452.752047907517</v>
      </c>
      <c r="J10" s="420"/>
      <c r="L10" s="62" t="str">
        <f t="shared" si="0"/>
        <v/>
      </c>
      <c r="M10" s="239"/>
      <c r="N10" s="14">
        <f t="shared" si="3"/>
        <v>1</v>
      </c>
      <c r="T10" s="1">
        <f t="shared" si="1"/>
        <v>16</v>
      </c>
      <c r="U10" s="4" t="str">
        <f t="shared" si="2"/>
        <v/>
      </c>
      <c r="V10" s="4" t="e">
        <f>IF($V$3=$M$3,M10,U10*(1+'Rhaniad y Ddeiliadaeth (Cymru)'!C$118))</f>
        <v>#VALUE!</v>
      </c>
      <c r="W10" s="4" t="e">
        <f>V10*(1+'Rhaniad y Ddeiliadaeth (Cymru)'!D$118)</f>
        <v>#VALUE!</v>
      </c>
      <c r="X10" s="4" t="e">
        <f>W10*(1+'Rhaniad y Ddeiliadaeth (Cymru)'!E$118)</f>
        <v>#VALUE!</v>
      </c>
      <c r="Y10" s="4" t="e">
        <f>X10*(1+'Rhaniad y Ddeiliadaeth (Cymru)'!F$118)</f>
        <v>#VALUE!</v>
      </c>
      <c r="Z10" s="4" t="e">
        <f>Y10*(1+'Rhaniad y Ddeiliadaeth (Cymru)'!G$118)</f>
        <v>#VALUE!</v>
      </c>
      <c r="AB10" s="1">
        <v>16</v>
      </c>
      <c r="AC10" s="4">
        <f>IF('Rhaniad y Ddeiliadaeth (Cymru)'!$D$18="Data Cofrestrfa Tir",'Prisiau Tai (De-ddwyrain)'!D10,'Prisiau Tai (De-ddwyrain)'!V10)</f>
        <v>87965.700143630151</v>
      </c>
      <c r="AD10" s="4">
        <f>IF('Rhaniad y Ddeiliadaeth (Cymru)'!$D$18="Data Cofrestrfa Tir",'Prisiau Tai (De-ddwyrain)'!E10,'Prisiau Tai (De-ddwyrain)'!W10)</f>
        <v>88161.560590429013</v>
      </c>
      <c r="AE10" s="4">
        <f>IF('Rhaniad y Ddeiliadaeth (Cymru)'!$D$18="Data Cofrestrfa Tir",'Prisiau Tai (De-ddwyrain)'!F10,'Prisiau Tai (De-ddwyrain)'!X10)</f>
        <v>90059.183524480221</v>
      </c>
      <c r="AF10" s="4">
        <f>IF('Rhaniad y Ddeiliadaeth (Cymru)'!$D$18="Data Cofrestrfa Tir",'Prisiau Tai (De-ddwyrain)'!G10,'Prisiau Tai (De-ddwyrain)'!Y10)</f>
        <v>93571.41679962074</v>
      </c>
      <c r="AG10" s="4">
        <f>IF('Rhaniad y Ddeiliadaeth (Cymru)'!$D$18="Data Cofrestrfa Tir",'Prisiau Tai (De-ddwyrain)'!H10,'Prisiau Tai (De-ddwyrain)'!Z10)</f>
        <v>97452.752047907517</v>
      </c>
    </row>
    <row r="11" spans="2:33" x14ac:dyDescent="0.25">
      <c r="B11" s="20">
        <v>17</v>
      </c>
      <c r="C11" s="56">
        <v>88000</v>
      </c>
      <c r="D11" s="57">
        <f>C11*(1+'Rhaniad y Ddeiliadaeth (De-ddn)'!C$118)</f>
        <v>90499.691505792318</v>
      </c>
      <c r="E11" s="57">
        <f>D11*(1+'Rhaniad y Ddeiliadaeth (De-ddn)'!D$118)</f>
        <v>90701.194023075106</v>
      </c>
      <c r="F11" s="57">
        <f>E11*(1+'Rhaniad y Ddeiliadaeth (De-ddn)'!E$118)</f>
        <v>92653.48099226359</v>
      </c>
      <c r="G11" s="57">
        <f>F11*(1+'Rhaniad y Ddeiliadaeth (De-ddn)'!F$118)</f>
        <v>96266.889711543961</v>
      </c>
      <c r="H11" s="58">
        <f>G11*(1+'Rhaniad y Ddeiliadaeth (De-ddn)'!G$118)</f>
        <v>100260.03297109825</v>
      </c>
      <c r="L11" s="62" t="str">
        <f t="shared" si="0"/>
        <v/>
      </c>
      <c r="M11" s="239"/>
      <c r="N11" s="14">
        <f t="shared" si="3"/>
        <v>1</v>
      </c>
      <c r="T11" s="1">
        <f t="shared" si="1"/>
        <v>17</v>
      </c>
      <c r="U11" s="4" t="str">
        <f t="shared" si="2"/>
        <v/>
      </c>
      <c r="V11" s="4" t="e">
        <f>IF($V$3=$M$3,M11,U11*(1+'Rhaniad y Ddeiliadaeth (Cymru)'!C$118))</f>
        <v>#VALUE!</v>
      </c>
      <c r="W11" s="4" t="e">
        <f>V11*(1+'Rhaniad y Ddeiliadaeth (Cymru)'!D$118)</f>
        <v>#VALUE!</v>
      </c>
      <c r="X11" s="4" t="e">
        <f>W11*(1+'Rhaniad y Ddeiliadaeth (Cymru)'!E$118)</f>
        <v>#VALUE!</v>
      </c>
      <c r="Y11" s="4" t="e">
        <f>X11*(1+'Rhaniad y Ddeiliadaeth (Cymru)'!F$118)</f>
        <v>#VALUE!</v>
      </c>
      <c r="Z11" s="4" t="e">
        <f>Y11*(1+'Rhaniad y Ddeiliadaeth (Cymru)'!G$118)</f>
        <v>#VALUE!</v>
      </c>
      <c r="AB11" s="1">
        <v>17</v>
      </c>
      <c r="AC11" s="4">
        <f>IF('Rhaniad y Ddeiliadaeth (Cymru)'!$D$18="Data Cofrestrfa Tir",'Prisiau Tai (De-ddwyrain)'!D11,'Prisiau Tai (De-ddwyrain)'!V11)</f>
        <v>90499.691505792318</v>
      </c>
      <c r="AD11" s="4">
        <f>IF('Rhaniad y Ddeiliadaeth (Cymru)'!$D$18="Data Cofrestrfa Tir",'Prisiau Tai (De-ddwyrain)'!E11,'Prisiau Tai (De-ddwyrain)'!W11)</f>
        <v>90701.194023075106</v>
      </c>
      <c r="AE11" s="4">
        <f>IF('Rhaniad y Ddeiliadaeth (Cymru)'!$D$18="Data Cofrestrfa Tir",'Prisiau Tai (De-ddwyrain)'!F11,'Prisiau Tai (De-ddwyrain)'!X11)</f>
        <v>92653.48099226359</v>
      </c>
      <c r="AF11" s="4">
        <f>IF('Rhaniad y Ddeiliadaeth (Cymru)'!$D$18="Data Cofrestrfa Tir",'Prisiau Tai (De-ddwyrain)'!G11,'Prisiau Tai (De-ddwyrain)'!Y11)</f>
        <v>96266.889711543961</v>
      </c>
      <c r="AG11" s="4">
        <f>IF('Rhaniad y Ddeiliadaeth (Cymru)'!$D$18="Data Cofrestrfa Tir",'Prisiau Tai (De-ddwyrain)'!H11,'Prisiau Tai (De-ddwyrain)'!Z11)</f>
        <v>100260.03297109825</v>
      </c>
    </row>
    <row r="12" spans="2:33" x14ac:dyDescent="0.25">
      <c r="B12" s="20">
        <v>18</v>
      </c>
      <c r="C12" s="56">
        <v>90000</v>
      </c>
      <c r="D12" s="57">
        <f>C12*(1+'Rhaniad y Ddeiliadaeth (De-ddn)'!C$118)</f>
        <v>92556.502676378499</v>
      </c>
      <c r="E12" s="57">
        <f>D12*(1+'Rhaniad y Ddeiliadaeth (De-ddn)'!D$118)</f>
        <v>92762.584796326802</v>
      </c>
      <c r="F12" s="57">
        <f>E12*(1+'Rhaniad y Ddeiliadaeth (De-ddn)'!E$118)</f>
        <v>94759.241923905938</v>
      </c>
      <c r="G12" s="57">
        <f>F12*(1+'Rhaniad y Ddeiliadaeth (De-ddn)'!F$118)</f>
        <v>98454.773568624485</v>
      </c>
      <c r="H12" s="58">
        <f>G12*(1+'Rhaniad y Ddeiliadaeth (De-ddn)'!G$118)</f>
        <v>102538.67008407773</v>
      </c>
      <c r="L12" s="62" t="str">
        <f t="shared" si="0"/>
        <v/>
      </c>
      <c r="M12" s="239"/>
      <c r="N12" s="14">
        <f t="shared" si="3"/>
        <v>1</v>
      </c>
      <c r="T12" s="1">
        <f t="shared" si="1"/>
        <v>18</v>
      </c>
      <c r="U12" s="4" t="str">
        <f t="shared" si="2"/>
        <v/>
      </c>
      <c r="V12" s="4" t="e">
        <f>IF($V$3=$M$3,M12,U12*(1+'Rhaniad y Ddeiliadaeth (Cymru)'!C$118))</f>
        <v>#VALUE!</v>
      </c>
      <c r="W12" s="4" t="e">
        <f>V12*(1+'Rhaniad y Ddeiliadaeth (Cymru)'!D$118)</f>
        <v>#VALUE!</v>
      </c>
      <c r="X12" s="4" t="e">
        <f>W12*(1+'Rhaniad y Ddeiliadaeth (Cymru)'!E$118)</f>
        <v>#VALUE!</v>
      </c>
      <c r="Y12" s="4" t="e">
        <f>X12*(1+'Rhaniad y Ddeiliadaeth (Cymru)'!F$118)</f>
        <v>#VALUE!</v>
      </c>
      <c r="Z12" s="4" t="e">
        <f>Y12*(1+'Rhaniad y Ddeiliadaeth (Cymru)'!G$118)</f>
        <v>#VALUE!</v>
      </c>
      <c r="AB12" s="1">
        <v>18</v>
      </c>
      <c r="AC12" s="4">
        <f>IF('Rhaniad y Ddeiliadaeth (Cymru)'!$D$18="Data Cofrestrfa Tir",'Prisiau Tai (De-ddwyrain)'!D12,'Prisiau Tai (De-ddwyrain)'!V12)</f>
        <v>92556.502676378499</v>
      </c>
      <c r="AD12" s="4">
        <f>IF('Rhaniad y Ddeiliadaeth (Cymru)'!$D$18="Data Cofrestrfa Tir",'Prisiau Tai (De-ddwyrain)'!E12,'Prisiau Tai (De-ddwyrain)'!W12)</f>
        <v>92762.584796326802</v>
      </c>
      <c r="AE12" s="4">
        <f>IF('Rhaniad y Ddeiliadaeth (Cymru)'!$D$18="Data Cofrestrfa Tir",'Prisiau Tai (De-ddwyrain)'!F12,'Prisiau Tai (De-ddwyrain)'!X12)</f>
        <v>94759.241923905938</v>
      </c>
      <c r="AF12" s="4">
        <f>IF('Rhaniad y Ddeiliadaeth (Cymru)'!$D$18="Data Cofrestrfa Tir",'Prisiau Tai (De-ddwyrain)'!G12,'Prisiau Tai (De-ddwyrain)'!Y12)</f>
        <v>98454.773568624485</v>
      </c>
      <c r="AG12" s="4">
        <f>IF('Rhaniad y Ddeiliadaeth (Cymru)'!$D$18="Data Cofrestrfa Tir",'Prisiau Tai (De-ddwyrain)'!H12,'Prisiau Tai (De-ddwyrain)'!Z12)</f>
        <v>102538.67008407773</v>
      </c>
    </row>
    <row r="13" spans="2:33" x14ac:dyDescent="0.25">
      <c r="B13" s="20">
        <v>19</v>
      </c>
      <c r="C13" s="56">
        <v>92500</v>
      </c>
      <c r="D13" s="57">
        <f>C13*(1+'Rhaniad y Ddeiliadaeth (De-ddn)'!C$118)</f>
        <v>95127.516639611233</v>
      </c>
      <c r="E13" s="57">
        <f>D13*(1+'Rhaniad y Ddeiliadaeth (De-ddn)'!D$118)</f>
        <v>95339.323262891441</v>
      </c>
      <c r="F13" s="57">
        <f>E13*(1+'Rhaniad y Ddeiliadaeth (De-ddn)'!E$118)</f>
        <v>97391.443088458895</v>
      </c>
      <c r="G13" s="57">
        <f>F13*(1+'Rhaniad y Ddeiliadaeth (De-ddn)'!F$118)</f>
        <v>101189.62838997519</v>
      </c>
      <c r="H13" s="58">
        <f>G13*(1+'Rhaniad y Ddeiliadaeth (De-ddn)'!G$118)</f>
        <v>105386.96647530214</v>
      </c>
      <c r="L13" s="62" t="str">
        <f t="shared" si="0"/>
        <v/>
      </c>
      <c r="M13" s="239"/>
      <c r="N13" s="14">
        <f t="shared" si="3"/>
        <v>1</v>
      </c>
      <c r="T13" s="1">
        <f t="shared" si="1"/>
        <v>19</v>
      </c>
      <c r="U13" s="4" t="str">
        <f t="shared" si="2"/>
        <v/>
      </c>
      <c r="V13" s="4" t="e">
        <f>IF($V$3=$M$3,M13,U13*(1+'Rhaniad y Ddeiliadaeth (Cymru)'!C$118))</f>
        <v>#VALUE!</v>
      </c>
      <c r="W13" s="4" t="e">
        <f>V13*(1+'Rhaniad y Ddeiliadaeth (Cymru)'!D$118)</f>
        <v>#VALUE!</v>
      </c>
      <c r="X13" s="4" t="e">
        <f>W13*(1+'Rhaniad y Ddeiliadaeth (Cymru)'!E$118)</f>
        <v>#VALUE!</v>
      </c>
      <c r="Y13" s="4" t="e">
        <f>X13*(1+'Rhaniad y Ddeiliadaeth (Cymru)'!F$118)</f>
        <v>#VALUE!</v>
      </c>
      <c r="Z13" s="4" t="e">
        <f>Y13*(1+'Rhaniad y Ddeiliadaeth (Cymru)'!G$118)</f>
        <v>#VALUE!</v>
      </c>
      <c r="AB13" s="1">
        <v>19</v>
      </c>
      <c r="AC13" s="4">
        <f>IF('Rhaniad y Ddeiliadaeth (Cymru)'!$D$18="Data Cofrestrfa Tir",'Prisiau Tai (De-ddwyrain)'!D13,'Prisiau Tai (De-ddwyrain)'!V13)</f>
        <v>95127.516639611233</v>
      </c>
      <c r="AD13" s="4">
        <f>IF('Rhaniad y Ddeiliadaeth (Cymru)'!$D$18="Data Cofrestrfa Tir",'Prisiau Tai (De-ddwyrain)'!E13,'Prisiau Tai (De-ddwyrain)'!W13)</f>
        <v>95339.323262891441</v>
      </c>
      <c r="AE13" s="4">
        <f>IF('Rhaniad y Ddeiliadaeth (Cymru)'!$D$18="Data Cofrestrfa Tir",'Prisiau Tai (De-ddwyrain)'!F13,'Prisiau Tai (De-ddwyrain)'!X13)</f>
        <v>97391.443088458895</v>
      </c>
      <c r="AF13" s="4">
        <f>IF('Rhaniad y Ddeiliadaeth (Cymru)'!$D$18="Data Cofrestrfa Tir",'Prisiau Tai (De-ddwyrain)'!G13,'Prisiau Tai (De-ddwyrain)'!Y13)</f>
        <v>101189.62838997519</v>
      </c>
      <c r="AG13" s="4">
        <f>IF('Rhaniad y Ddeiliadaeth (Cymru)'!$D$18="Data Cofrestrfa Tir",'Prisiau Tai (De-ddwyrain)'!H13,'Prisiau Tai (De-ddwyrain)'!Z13)</f>
        <v>105386.96647530214</v>
      </c>
    </row>
    <row r="14" spans="2:33" x14ac:dyDescent="0.25">
      <c r="B14" s="20">
        <v>20</v>
      </c>
      <c r="C14" s="56">
        <v>95000</v>
      </c>
      <c r="D14" s="57">
        <f>C14*(1+'Rhaniad y Ddeiliadaeth (De-ddn)'!C$118)</f>
        <v>97698.530602843966</v>
      </c>
      <c r="E14" s="57">
        <f>D14*(1+'Rhaniad y Ddeiliadaeth (De-ddn)'!D$118)</f>
        <v>97916.061729456065</v>
      </c>
      <c r="F14" s="57">
        <f>E14*(1+'Rhaniad y Ddeiliadaeth (De-ddn)'!E$118)</f>
        <v>100023.64425301182</v>
      </c>
      <c r="G14" s="57">
        <f>F14*(1+'Rhaniad y Ddeiliadaeth (De-ddn)'!F$118)</f>
        <v>103924.48321132585</v>
      </c>
      <c r="H14" s="58">
        <f>G14*(1+'Rhaniad y Ddeiliadaeth (De-ddn)'!G$118)</f>
        <v>108235.26286652649</v>
      </c>
      <c r="L14" s="62" t="str">
        <f t="shared" si="0"/>
        <v/>
      </c>
      <c r="M14" s="239"/>
      <c r="N14" s="14">
        <f t="shared" si="3"/>
        <v>1</v>
      </c>
      <c r="T14" s="1">
        <f t="shared" si="1"/>
        <v>20</v>
      </c>
      <c r="U14" s="4" t="str">
        <f t="shared" si="2"/>
        <v/>
      </c>
      <c r="V14" s="4" t="e">
        <f>IF($V$3=$M$3,M14,U14*(1+'Rhaniad y Ddeiliadaeth (Cymru)'!C$118))</f>
        <v>#VALUE!</v>
      </c>
      <c r="W14" s="4" t="e">
        <f>V14*(1+'Rhaniad y Ddeiliadaeth (Cymru)'!D$118)</f>
        <v>#VALUE!</v>
      </c>
      <c r="X14" s="4" t="e">
        <f>W14*(1+'Rhaniad y Ddeiliadaeth (Cymru)'!E$118)</f>
        <v>#VALUE!</v>
      </c>
      <c r="Y14" s="4" t="e">
        <f>X14*(1+'Rhaniad y Ddeiliadaeth (Cymru)'!F$118)</f>
        <v>#VALUE!</v>
      </c>
      <c r="Z14" s="4" t="e">
        <f>Y14*(1+'Rhaniad y Ddeiliadaeth (Cymru)'!G$118)</f>
        <v>#VALUE!</v>
      </c>
      <c r="AB14" s="1">
        <v>20</v>
      </c>
      <c r="AC14" s="4">
        <f>IF('Rhaniad y Ddeiliadaeth (Cymru)'!$D$18="Data Cofrestrfa Tir",'Prisiau Tai (De-ddwyrain)'!D14,'Prisiau Tai (De-ddwyrain)'!V14)</f>
        <v>97698.530602843966</v>
      </c>
      <c r="AD14" s="4">
        <f>IF('Rhaniad y Ddeiliadaeth (Cymru)'!$D$18="Data Cofrestrfa Tir",'Prisiau Tai (De-ddwyrain)'!E14,'Prisiau Tai (De-ddwyrain)'!W14)</f>
        <v>97916.061729456065</v>
      </c>
      <c r="AE14" s="4">
        <f>IF('Rhaniad y Ddeiliadaeth (Cymru)'!$D$18="Data Cofrestrfa Tir",'Prisiau Tai (De-ddwyrain)'!F14,'Prisiau Tai (De-ddwyrain)'!X14)</f>
        <v>100023.64425301182</v>
      </c>
      <c r="AF14" s="4">
        <f>IF('Rhaniad y Ddeiliadaeth (Cymru)'!$D$18="Data Cofrestrfa Tir",'Prisiau Tai (De-ddwyrain)'!G14,'Prisiau Tai (De-ddwyrain)'!Y14)</f>
        <v>103924.48321132585</v>
      </c>
      <c r="AG14" s="4">
        <f>IF('Rhaniad y Ddeiliadaeth (Cymru)'!$D$18="Data Cofrestrfa Tir",'Prisiau Tai (De-ddwyrain)'!H14,'Prisiau Tai (De-ddwyrain)'!Z14)</f>
        <v>108235.26286652649</v>
      </c>
    </row>
    <row r="15" spans="2:33" x14ac:dyDescent="0.25">
      <c r="B15" s="20">
        <v>21</v>
      </c>
      <c r="C15" s="56">
        <v>97000</v>
      </c>
      <c r="D15" s="57">
        <f>C15*(1+'Rhaniad y Ddeiliadaeth (De-ddn)'!C$118)</f>
        <v>99755.341773430162</v>
      </c>
      <c r="E15" s="57">
        <f>D15*(1+'Rhaniad y Ddeiliadaeth (De-ddn)'!D$118)</f>
        <v>99977.452502707776</v>
      </c>
      <c r="F15" s="57">
        <f>E15*(1+'Rhaniad y Ddeiliadaeth (De-ddn)'!E$118)</f>
        <v>102129.40518465418</v>
      </c>
      <c r="G15" s="57">
        <f>F15*(1+'Rhaniad y Ddeiliadaeth (De-ddn)'!F$118)</f>
        <v>106112.3670684064</v>
      </c>
      <c r="H15" s="58">
        <f>G15*(1+'Rhaniad y Ddeiliadaeth (De-ddn)'!G$118)</f>
        <v>110513.89997950601</v>
      </c>
      <c r="L15" s="62" t="str">
        <f t="shared" si="0"/>
        <v/>
      </c>
      <c r="M15" s="239"/>
      <c r="N15" s="14">
        <f t="shared" si="3"/>
        <v>1</v>
      </c>
      <c r="T15" s="1">
        <f t="shared" si="1"/>
        <v>21</v>
      </c>
      <c r="U15" s="4" t="str">
        <f t="shared" si="2"/>
        <v/>
      </c>
      <c r="V15" s="4" t="e">
        <f>IF($V$3=$M$3,M15,U15*(1+'Rhaniad y Ddeiliadaeth (Cymru)'!C$118))</f>
        <v>#VALUE!</v>
      </c>
      <c r="W15" s="4" t="e">
        <f>V15*(1+'Rhaniad y Ddeiliadaeth (Cymru)'!D$118)</f>
        <v>#VALUE!</v>
      </c>
      <c r="X15" s="4" t="e">
        <f>W15*(1+'Rhaniad y Ddeiliadaeth (Cymru)'!E$118)</f>
        <v>#VALUE!</v>
      </c>
      <c r="Y15" s="4" t="e">
        <f>X15*(1+'Rhaniad y Ddeiliadaeth (Cymru)'!F$118)</f>
        <v>#VALUE!</v>
      </c>
      <c r="Z15" s="4" t="e">
        <f>Y15*(1+'Rhaniad y Ddeiliadaeth (Cymru)'!G$118)</f>
        <v>#VALUE!</v>
      </c>
      <c r="AB15" s="1">
        <v>21</v>
      </c>
      <c r="AC15" s="4">
        <f>IF('Rhaniad y Ddeiliadaeth (Cymru)'!$D$18="Data Cofrestrfa Tir",'Prisiau Tai (De-ddwyrain)'!D15,'Prisiau Tai (De-ddwyrain)'!V15)</f>
        <v>99755.341773430162</v>
      </c>
      <c r="AD15" s="4">
        <f>IF('Rhaniad y Ddeiliadaeth (Cymru)'!$D$18="Data Cofrestrfa Tir",'Prisiau Tai (De-ddwyrain)'!E15,'Prisiau Tai (De-ddwyrain)'!W15)</f>
        <v>99977.452502707776</v>
      </c>
      <c r="AE15" s="4">
        <f>IF('Rhaniad y Ddeiliadaeth (Cymru)'!$D$18="Data Cofrestrfa Tir",'Prisiau Tai (De-ddwyrain)'!F15,'Prisiau Tai (De-ddwyrain)'!X15)</f>
        <v>102129.40518465418</v>
      </c>
      <c r="AF15" s="4">
        <f>IF('Rhaniad y Ddeiliadaeth (Cymru)'!$D$18="Data Cofrestrfa Tir",'Prisiau Tai (De-ddwyrain)'!G15,'Prisiau Tai (De-ddwyrain)'!Y15)</f>
        <v>106112.3670684064</v>
      </c>
      <c r="AG15" s="4">
        <f>IF('Rhaniad y Ddeiliadaeth (Cymru)'!$D$18="Data Cofrestrfa Tir",'Prisiau Tai (De-ddwyrain)'!H15,'Prisiau Tai (De-ddwyrain)'!Z15)</f>
        <v>110513.89997950601</v>
      </c>
    </row>
    <row r="16" spans="2:33" x14ac:dyDescent="0.25">
      <c r="B16" s="20">
        <v>22</v>
      </c>
      <c r="C16" s="56">
        <v>99950</v>
      </c>
      <c r="D16" s="57">
        <f>C16*(1+'Rhaniad y Ddeiliadaeth (De-ddn)'!C$118)</f>
        <v>102789.13825004479</v>
      </c>
      <c r="E16" s="57">
        <f>D16*(1+'Rhaniad y Ddeiliadaeth (De-ddn)'!D$118)</f>
        <v>103018.00389325405</v>
      </c>
      <c r="F16" s="57">
        <f>E16*(1+'Rhaniad y Ddeiliadaeth (De-ddn)'!E$118)</f>
        <v>105235.40255882665</v>
      </c>
      <c r="G16" s="57">
        <f>F16*(1+'Rhaniad y Ddeiliadaeth (De-ddn)'!F$118)</f>
        <v>109339.49575760021</v>
      </c>
      <c r="H16" s="58">
        <f>G16*(1+'Rhaniad y Ddeiliadaeth (De-ddn)'!G$118)</f>
        <v>113874.88972115079</v>
      </c>
      <c r="L16" s="62" t="str">
        <f t="shared" si="0"/>
        <v/>
      </c>
      <c r="M16" s="239"/>
      <c r="N16" s="14">
        <f t="shared" si="3"/>
        <v>1</v>
      </c>
      <c r="T16" s="1">
        <f t="shared" si="1"/>
        <v>22</v>
      </c>
      <c r="U16" s="4" t="str">
        <f t="shared" si="2"/>
        <v/>
      </c>
      <c r="V16" s="4" t="e">
        <f>IF($V$3=$M$3,M16,U16*(1+'Rhaniad y Ddeiliadaeth (Cymru)'!C$118))</f>
        <v>#VALUE!</v>
      </c>
      <c r="W16" s="4" t="e">
        <f>V16*(1+'Rhaniad y Ddeiliadaeth (Cymru)'!D$118)</f>
        <v>#VALUE!</v>
      </c>
      <c r="X16" s="4" t="e">
        <f>W16*(1+'Rhaniad y Ddeiliadaeth (Cymru)'!E$118)</f>
        <v>#VALUE!</v>
      </c>
      <c r="Y16" s="4" t="e">
        <f>X16*(1+'Rhaniad y Ddeiliadaeth (Cymru)'!F$118)</f>
        <v>#VALUE!</v>
      </c>
      <c r="Z16" s="4" t="e">
        <f>Y16*(1+'Rhaniad y Ddeiliadaeth (Cymru)'!G$118)</f>
        <v>#VALUE!</v>
      </c>
      <c r="AB16" s="1">
        <v>22</v>
      </c>
      <c r="AC16" s="4">
        <f>IF('Rhaniad y Ddeiliadaeth (Cymru)'!$D$18="Data Cofrestrfa Tir",'Prisiau Tai (De-ddwyrain)'!D16,'Prisiau Tai (De-ddwyrain)'!V16)</f>
        <v>102789.13825004479</v>
      </c>
      <c r="AD16" s="4">
        <f>IF('Rhaniad y Ddeiliadaeth (Cymru)'!$D$18="Data Cofrestrfa Tir",'Prisiau Tai (De-ddwyrain)'!E16,'Prisiau Tai (De-ddwyrain)'!W16)</f>
        <v>103018.00389325405</v>
      </c>
      <c r="AE16" s="4">
        <f>IF('Rhaniad y Ddeiliadaeth (Cymru)'!$D$18="Data Cofrestrfa Tir",'Prisiau Tai (De-ddwyrain)'!F16,'Prisiau Tai (De-ddwyrain)'!X16)</f>
        <v>105235.40255882665</v>
      </c>
      <c r="AF16" s="4">
        <f>IF('Rhaniad y Ddeiliadaeth (Cymru)'!$D$18="Data Cofrestrfa Tir",'Prisiau Tai (De-ddwyrain)'!G16,'Prisiau Tai (De-ddwyrain)'!Y16)</f>
        <v>109339.49575760021</v>
      </c>
      <c r="AG16" s="4">
        <f>IF('Rhaniad y Ddeiliadaeth (Cymru)'!$D$18="Data Cofrestrfa Tir",'Prisiau Tai (De-ddwyrain)'!H16,'Prisiau Tai (De-ddwyrain)'!Z16)</f>
        <v>113874.88972115079</v>
      </c>
    </row>
    <row r="17" spans="2:33" x14ac:dyDescent="0.25">
      <c r="B17" s="20">
        <v>23</v>
      </c>
      <c r="C17" s="56">
        <v>101000</v>
      </c>
      <c r="D17" s="57">
        <f>C17*(1+'Rhaniad y Ddeiliadaeth (De-ddn)'!C$118)</f>
        <v>103868.96411460254</v>
      </c>
      <c r="E17" s="57">
        <f>D17*(1+'Rhaniad y Ddeiliadaeth (De-ddn)'!D$118)</f>
        <v>104100.2340492112</v>
      </c>
      <c r="F17" s="57">
        <f>E17*(1+'Rhaniad y Ddeiliadaeth (De-ddn)'!E$118)</f>
        <v>106340.92704793889</v>
      </c>
      <c r="G17" s="57">
        <f>F17*(1+'Rhaniad y Ddeiliadaeth (De-ddn)'!F$118)</f>
        <v>110488.13478256749</v>
      </c>
      <c r="H17" s="58">
        <f>G17*(1+'Rhaniad y Ddeiliadaeth (De-ddn)'!G$118)</f>
        <v>115071.17420546502</v>
      </c>
      <c r="L17" s="62" t="str">
        <f t="shared" si="0"/>
        <v/>
      </c>
      <c r="M17" s="239"/>
      <c r="N17" s="14">
        <f t="shared" si="3"/>
        <v>1</v>
      </c>
      <c r="T17" s="1">
        <f t="shared" si="1"/>
        <v>23</v>
      </c>
      <c r="U17" s="4" t="str">
        <f t="shared" si="2"/>
        <v/>
      </c>
      <c r="V17" s="4" t="e">
        <f>IF($V$3=$M$3,M17,U17*(1+'Rhaniad y Ddeiliadaeth (Cymru)'!C$118))</f>
        <v>#VALUE!</v>
      </c>
      <c r="W17" s="4" t="e">
        <f>V17*(1+'Rhaniad y Ddeiliadaeth (Cymru)'!D$118)</f>
        <v>#VALUE!</v>
      </c>
      <c r="X17" s="4" t="e">
        <f>W17*(1+'Rhaniad y Ddeiliadaeth (Cymru)'!E$118)</f>
        <v>#VALUE!</v>
      </c>
      <c r="Y17" s="4" t="e">
        <f>X17*(1+'Rhaniad y Ddeiliadaeth (Cymru)'!F$118)</f>
        <v>#VALUE!</v>
      </c>
      <c r="Z17" s="4" t="e">
        <f>Y17*(1+'Rhaniad y Ddeiliadaeth (Cymru)'!G$118)</f>
        <v>#VALUE!</v>
      </c>
      <c r="AB17" s="1">
        <v>23</v>
      </c>
      <c r="AC17" s="4">
        <f>IF('Rhaniad y Ddeiliadaeth (Cymru)'!$D$18="Data Cofrestrfa Tir",'Prisiau Tai (De-ddwyrain)'!D17,'Prisiau Tai (De-ddwyrain)'!V17)</f>
        <v>103868.96411460254</v>
      </c>
      <c r="AD17" s="4">
        <f>IF('Rhaniad y Ddeiliadaeth (Cymru)'!$D$18="Data Cofrestrfa Tir",'Prisiau Tai (De-ddwyrain)'!E17,'Prisiau Tai (De-ddwyrain)'!W17)</f>
        <v>104100.2340492112</v>
      </c>
      <c r="AE17" s="4">
        <f>IF('Rhaniad y Ddeiliadaeth (Cymru)'!$D$18="Data Cofrestrfa Tir",'Prisiau Tai (De-ddwyrain)'!F17,'Prisiau Tai (De-ddwyrain)'!X17)</f>
        <v>106340.92704793889</v>
      </c>
      <c r="AF17" s="4">
        <f>IF('Rhaniad y Ddeiliadaeth (Cymru)'!$D$18="Data Cofrestrfa Tir",'Prisiau Tai (De-ddwyrain)'!G17,'Prisiau Tai (De-ddwyrain)'!Y17)</f>
        <v>110488.13478256749</v>
      </c>
      <c r="AG17" s="4">
        <f>IF('Rhaniad y Ddeiliadaeth (Cymru)'!$D$18="Data Cofrestrfa Tir",'Prisiau Tai (De-ddwyrain)'!H17,'Prisiau Tai (De-ddwyrain)'!Z17)</f>
        <v>115071.17420546502</v>
      </c>
    </row>
    <row r="18" spans="2:33" x14ac:dyDescent="0.25">
      <c r="B18" s="20">
        <v>24</v>
      </c>
      <c r="C18" s="56">
        <v>104950</v>
      </c>
      <c r="D18" s="57">
        <f>C18*(1+'Rhaniad y Ddeiliadaeth (De-ddn)'!C$118)</f>
        <v>107931.16617651026</v>
      </c>
      <c r="E18" s="57">
        <f>D18*(1+'Rhaniad y Ddeiliadaeth (De-ddn)'!D$118)</f>
        <v>108171.48082638331</v>
      </c>
      <c r="F18" s="57">
        <f>E18*(1+'Rhaniad y Ddeiliadaeth (De-ddn)'!E$118)</f>
        <v>110499.80488793254</v>
      </c>
      <c r="G18" s="57">
        <f>F18*(1+'Rhaniad y Ddeiliadaeth (De-ddn)'!F$118)</f>
        <v>114809.20540030157</v>
      </c>
      <c r="H18" s="58">
        <f>G18*(1+'Rhaniad y Ddeiliadaeth (De-ddn)'!G$118)</f>
        <v>119571.48250359955</v>
      </c>
      <c r="L18" s="62" t="str">
        <f t="shared" si="0"/>
        <v/>
      </c>
      <c r="M18" s="239"/>
      <c r="N18" s="14">
        <f t="shared" si="3"/>
        <v>1</v>
      </c>
      <c r="T18" s="1">
        <f t="shared" si="1"/>
        <v>24</v>
      </c>
      <c r="U18" s="4" t="str">
        <f t="shared" si="2"/>
        <v/>
      </c>
      <c r="V18" s="4" t="e">
        <f>IF($V$3=$M$3,M18,U18*(1+'Rhaniad y Ddeiliadaeth (Cymru)'!C$118))</f>
        <v>#VALUE!</v>
      </c>
      <c r="W18" s="4" t="e">
        <f>V18*(1+'Rhaniad y Ddeiliadaeth (Cymru)'!D$118)</f>
        <v>#VALUE!</v>
      </c>
      <c r="X18" s="4" t="e">
        <f>W18*(1+'Rhaniad y Ddeiliadaeth (Cymru)'!E$118)</f>
        <v>#VALUE!</v>
      </c>
      <c r="Y18" s="4" t="e">
        <f>X18*(1+'Rhaniad y Ddeiliadaeth (Cymru)'!F$118)</f>
        <v>#VALUE!</v>
      </c>
      <c r="Z18" s="4" t="e">
        <f>Y18*(1+'Rhaniad y Ddeiliadaeth (Cymru)'!G$118)</f>
        <v>#VALUE!</v>
      </c>
      <c r="AB18" s="1">
        <v>24</v>
      </c>
      <c r="AC18" s="4">
        <f>IF('Rhaniad y Ddeiliadaeth (Cymru)'!$D$18="Data Cofrestrfa Tir",'Prisiau Tai (De-ddwyrain)'!D18,'Prisiau Tai (De-ddwyrain)'!V18)</f>
        <v>107931.16617651026</v>
      </c>
      <c r="AD18" s="4">
        <f>IF('Rhaniad y Ddeiliadaeth (Cymru)'!$D$18="Data Cofrestrfa Tir",'Prisiau Tai (De-ddwyrain)'!E18,'Prisiau Tai (De-ddwyrain)'!W18)</f>
        <v>108171.48082638331</v>
      </c>
      <c r="AE18" s="4">
        <f>IF('Rhaniad y Ddeiliadaeth (Cymru)'!$D$18="Data Cofrestrfa Tir",'Prisiau Tai (De-ddwyrain)'!F18,'Prisiau Tai (De-ddwyrain)'!X18)</f>
        <v>110499.80488793254</v>
      </c>
      <c r="AF18" s="4">
        <f>IF('Rhaniad y Ddeiliadaeth (Cymru)'!$D$18="Data Cofrestrfa Tir",'Prisiau Tai (De-ddwyrain)'!G18,'Prisiau Tai (De-ddwyrain)'!Y18)</f>
        <v>114809.20540030157</v>
      </c>
      <c r="AG18" s="4">
        <f>IF('Rhaniad y Ddeiliadaeth (Cymru)'!$D$18="Data Cofrestrfa Tir",'Prisiau Tai (De-ddwyrain)'!H18,'Prisiau Tai (De-ddwyrain)'!Z18)</f>
        <v>119571.48250359955</v>
      </c>
    </row>
    <row r="19" spans="2:33" x14ac:dyDescent="0.25">
      <c r="B19" s="20">
        <v>25</v>
      </c>
      <c r="C19" s="56">
        <v>106000</v>
      </c>
      <c r="D19" s="57">
        <f>C19*(1+'Rhaniad y Ddeiliadaeth (De-ddn)'!C$118)</f>
        <v>109010.99204106801</v>
      </c>
      <c r="E19" s="57">
        <f>D19*(1+'Rhaniad y Ddeiliadaeth (De-ddn)'!D$118)</f>
        <v>109253.71098234046</v>
      </c>
      <c r="F19" s="57">
        <f>E19*(1+'Rhaniad y Ddeiliadaeth (De-ddn)'!E$118)</f>
        <v>111605.32937704478</v>
      </c>
      <c r="G19" s="57">
        <f>F19*(1+'Rhaniad y Ddeiliadaeth (De-ddn)'!F$118)</f>
        <v>115957.84442526885</v>
      </c>
      <c r="H19" s="58">
        <f>G19*(1+'Rhaniad y Ddeiliadaeth (De-ddn)'!G$118)</f>
        <v>120767.7669879138</v>
      </c>
      <c r="L19" s="62" t="str">
        <f t="shared" si="0"/>
        <v/>
      </c>
      <c r="M19" s="239"/>
      <c r="N19" s="14">
        <f t="shared" si="3"/>
        <v>1</v>
      </c>
      <c r="T19" s="1">
        <f t="shared" si="1"/>
        <v>25</v>
      </c>
      <c r="U19" s="4" t="str">
        <f t="shared" si="2"/>
        <v/>
      </c>
      <c r="V19" s="4" t="e">
        <f>IF($V$3=$M$3,M19,U19*(1+'Rhaniad y Ddeiliadaeth (Cymru)'!C$118))</f>
        <v>#VALUE!</v>
      </c>
      <c r="W19" s="4" t="e">
        <f>V19*(1+'Rhaniad y Ddeiliadaeth (Cymru)'!D$118)</f>
        <v>#VALUE!</v>
      </c>
      <c r="X19" s="4" t="e">
        <f>W19*(1+'Rhaniad y Ddeiliadaeth (Cymru)'!E$118)</f>
        <v>#VALUE!</v>
      </c>
      <c r="Y19" s="4" t="e">
        <f>X19*(1+'Rhaniad y Ddeiliadaeth (Cymru)'!F$118)</f>
        <v>#VALUE!</v>
      </c>
      <c r="Z19" s="4" t="e">
        <f>Y19*(1+'Rhaniad y Ddeiliadaeth (Cymru)'!G$118)</f>
        <v>#VALUE!</v>
      </c>
      <c r="AB19" s="1">
        <v>25</v>
      </c>
      <c r="AC19" s="4">
        <f>IF('Rhaniad y Ddeiliadaeth (Cymru)'!$D$18="Data Cofrestrfa Tir",'Prisiau Tai (De-ddwyrain)'!D19,'Prisiau Tai (De-ddwyrain)'!V19)</f>
        <v>109010.99204106801</v>
      </c>
      <c r="AD19" s="4">
        <f>IF('Rhaniad y Ddeiliadaeth (Cymru)'!$D$18="Data Cofrestrfa Tir",'Prisiau Tai (De-ddwyrain)'!E19,'Prisiau Tai (De-ddwyrain)'!W19)</f>
        <v>109253.71098234046</v>
      </c>
      <c r="AE19" s="4">
        <f>IF('Rhaniad y Ddeiliadaeth (Cymru)'!$D$18="Data Cofrestrfa Tir",'Prisiau Tai (De-ddwyrain)'!F19,'Prisiau Tai (De-ddwyrain)'!X19)</f>
        <v>111605.32937704478</v>
      </c>
      <c r="AF19" s="4">
        <f>IF('Rhaniad y Ddeiliadaeth (Cymru)'!$D$18="Data Cofrestrfa Tir",'Prisiau Tai (De-ddwyrain)'!G19,'Prisiau Tai (De-ddwyrain)'!Y19)</f>
        <v>115957.84442526885</v>
      </c>
      <c r="AG19" s="4">
        <f>IF('Rhaniad y Ddeiliadaeth (Cymru)'!$D$18="Data Cofrestrfa Tir",'Prisiau Tai (De-ddwyrain)'!H19,'Prisiau Tai (De-ddwyrain)'!Z19)</f>
        <v>120767.7669879138</v>
      </c>
    </row>
    <row r="20" spans="2:33" x14ac:dyDescent="0.25">
      <c r="B20" s="20">
        <v>26</v>
      </c>
      <c r="C20" s="56">
        <v>108500</v>
      </c>
      <c r="D20" s="57">
        <f>C20*(1+'Rhaniad y Ddeiliadaeth (De-ddn)'!C$118)</f>
        <v>111582.00600430075</v>
      </c>
      <c r="E20" s="57">
        <f>D20*(1+'Rhaniad y Ddeiliadaeth (De-ddn)'!D$118)</f>
        <v>111830.4494489051</v>
      </c>
      <c r="F20" s="57">
        <f>E20*(1+'Rhaniad y Ddeiliadaeth (De-ddn)'!E$118)</f>
        <v>114237.53054159772</v>
      </c>
      <c r="G20" s="57">
        <f>F20*(1+'Rhaniad y Ddeiliadaeth (De-ddn)'!F$118)</f>
        <v>118692.69924661954</v>
      </c>
      <c r="H20" s="58">
        <f>G20*(1+'Rhaniad y Ddeiliadaeth (De-ddn)'!G$118)</f>
        <v>123616.06337913818</v>
      </c>
      <c r="L20" s="62" t="str">
        <f t="shared" si="0"/>
        <v/>
      </c>
      <c r="M20" s="239"/>
      <c r="N20" s="14">
        <f t="shared" si="3"/>
        <v>1</v>
      </c>
      <c r="T20" s="1">
        <f t="shared" si="1"/>
        <v>26</v>
      </c>
      <c r="U20" s="4" t="str">
        <f t="shared" si="2"/>
        <v/>
      </c>
      <c r="V20" s="4" t="e">
        <f>IF($V$3=$M$3,M20,U20*(1+'Rhaniad y Ddeiliadaeth (Cymru)'!C$118))</f>
        <v>#VALUE!</v>
      </c>
      <c r="W20" s="4" t="e">
        <f>V20*(1+'Rhaniad y Ddeiliadaeth (Cymru)'!D$118)</f>
        <v>#VALUE!</v>
      </c>
      <c r="X20" s="4" t="e">
        <f>W20*(1+'Rhaniad y Ddeiliadaeth (Cymru)'!E$118)</f>
        <v>#VALUE!</v>
      </c>
      <c r="Y20" s="4" t="e">
        <f>X20*(1+'Rhaniad y Ddeiliadaeth (Cymru)'!F$118)</f>
        <v>#VALUE!</v>
      </c>
      <c r="Z20" s="4" t="e">
        <f>Y20*(1+'Rhaniad y Ddeiliadaeth (Cymru)'!G$118)</f>
        <v>#VALUE!</v>
      </c>
      <c r="AB20" s="1">
        <v>26</v>
      </c>
      <c r="AC20" s="4">
        <f>IF('Rhaniad y Ddeiliadaeth (Cymru)'!$D$18="Data Cofrestrfa Tir",'Prisiau Tai (De-ddwyrain)'!D20,'Prisiau Tai (De-ddwyrain)'!V20)</f>
        <v>111582.00600430075</v>
      </c>
      <c r="AD20" s="4">
        <f>IF('Rhaniad y Ddeiliadaeth (Cymru)'!$D$18="Data Cofrestrfa Tir",'Prisiau Tai (De-ddwyrain)'!E20,'Prisiau Tai (De-ddwyrain)'!W20)</f>
        <v>111830.4494489051</v>
      </c>
      <c r="AE20" s="4">
        <f>IF('Rhaniad y Ddeiliadaeth (Cymru)'!$D$18="Data Cofrestrfa Tir",'Prisiau Tai (De-ddwyrain)'!F20,'Prisiau Tai (De-ddwyrain)'!X20)</f>
        <v>114237.53054159772</v>
      </c>
      <c r="AF20" s="4">
        <f>IF('Rhaniad y Ddeiliadaeth (Cymru)'!$D$18="Data Cofrestrfa Tir",'Prisiau Tai (De-ddwyrain)'!G20,'Prisiau Tai (De-ddwyrain)'!Y20)</f>
        <v>118692.69924661954</v>
      </c>
      <c r="AG20" s="4">
        <f>IF('Rhaniad y Ddeiliadaeth (Cymru)'!$D$18="Data Cofrestrfa Tir",'Prisiau Tai (De-ddwyrain)'!H20,'Prisiau Tai (De-ddwyrain)'!Z20)</f>
        <v>123616.06337913818</v>
      </c>
    </row>
    <row r="21" spans="2:33" x14ac:dyDescent="0.25">
      <c r="B21" s="20">
        <v>27</v>
      </c>
      <c r="C21" s="56">
        <v>110000</v>
      </c>
      <c r="D21" s="57">
        <f>C21*(1+'Rhaniad y Ddeiliadaeth (De-ddn)'!C$118)</f>
        <v>113124.61438224038</v>
      </c>
      <c r="E21" s="57">
        <f>D21*(1+'Rhaniad y Ddeiliadaeth (De-ddn)'!D$118)</f>
        <v>113376.49252884387</v>
      </c>
      <c r="F21" s="57">
        <f>E21*(1+'Rhaniad y Ddeiliadaeth (De-ddn)'!E$118)</f>
        <v>115816.85124032947</v>
      </c>
      <c r="G21" s="57">
        <f>F21*(1+'Rhaniad y Ddeiliadaeth (De-ddn)'!F$118)</f>
        <v>120333.61213942993</v>
      </c>
      <c r="H21" s="58">
        <f>G21*(1+'Rhaniad y Ddeiliadaeth (De-ddn)'!G$118)</f>
        <v>125325.04121387278</v>
      </c>
      <c r="L21" s="62" t="str">
        <f t="shared" si="0"/>
        <v/>
      </c>
      <c r="M21" s="239"/>
      <c r="N21" s="14">
        <f t="shared" si="3"/>
        <v>1</v>
      </c>
      <c r="T21" s="1">
        <f t="shared" si="1"/>
        <v>27</v>
      </c>
      <c r="U21" s="4" t="str">
        <f t="shared" si="2"/>
        <v/>
      </c>
      <c r="V21" s="4" t="e">
        <f>IF($V$3=$M$3,M21,U21*(1+'Rhaniad y Ddeiliadaeth (Cymru)'!C$118))</f>
        <v>#VALUE!</v>
      </c>
      <c r="W21" s="4" t="e">
        <f>V21*(1+'Rhaniad y Ddeiliadaeth (Cymru)'!D$118)</f>
        <v>#VALUE!</v>
      </c>
      <c r="X21" s="4" t="e">
        <f>W21*(1+'Rhaniad y Ddeiliadaeth (Cymru)'!E$118)</f>
        <v>#VALUE!</v>
      </c>
      <c r="Y21" s="4" t="e">
        <f>X21*(1+'Rhaniad y Ddeiliadaeth (Cymru)'!F$118)</f>
        <v>#VALUE!</v>
      </c>
      <c r="Z21" s="4" t="e">
        <f>Y21*(1+'Rhaniad y Ddeiliadaeth (Cymru)'!G$118)</f>
        <v>#VALUE!</v>
      </c>
      <c r="AB21" s="1">
        <v>27</v>
      </c>
      <c r="AC21" s="4">
        <f>IF('Rhaniad y Ddeiliadaeth (Cymru)'!$D$18="Data Cofrestrfa Tir",'Prisiau Tai (De-ddwyrain)'!D21,'Prisiau Tai (De-ddwyrain)'!V21)</f>
        <v>113124.61438224038</v>
      </c>
      <c r="AD21" s="4">
        <f>IF('Rhaniad y Ddeiliadaeth (Cymru)'!$D$18="Data Cofrestrfa Tir",'Prisiau Tai (De-ddwyrain)'!E21,'Prisiau Tai (De-ddwyrain)'!W21)</f>
        <v>113376.49252884387</v>
      </c>
      <c r="AE21" s="4">
        <f>IF('Rhaniad y Ddeiliadaeth (Cymru)'!$D$18="Data Cofrestrfa Tir",'Prisiau Tai (De-ddwyrain)'!F21,'Prisiau Tai (De-ddwyrain)'!X21)</f>
        <v>115816.85124032947</v>
      </c>
      <c r="AF21" s="4">
        <f>IF('Rhaniad y Ddeiliadaeth (Cymru)'!$D$18="Data Cofrestrfa Tir",'Prisiau Tai (De-ddwyrain)'!G21,'Prisiau Tai (De-ddwyrain)'!Y21)</f>
        <v>120333.61213942993</v>
      </c>
      <c r="AG21" s="4">
        <f>IF('Rhaniad y Ddeiliadaeth (Cymru)'!$D$18="Data Cofrestrfa Tir",'Prisiau Tai (De-ddwyrain)'!H21,'Prisiau Tai (De-ddwyrain)'!Z21)</f>
        <v>125325.04121387278</v>
      </c>
    </row>
    <row r="22" spans="2:33" x14ac:dyDescent="0.25">
      <c r="B22" s="20">
        <v>28</v>
      </c>
      <c r="C22" s="56">
        <v>112000</v>
      </c>
      <c r="D22" s="57">
        <f>C22*(1+'Rhaniad y Ddeiliadaeth (De-ddn)'!C$118)</f>
        <v>115181.42555282658</v>
      </c>
      <c r="E22" s="57">
        <f>D22*(1+'Rhaniad y Ddeiliadaeth (De-ddn)'!D$118)</f>
        <v>115437.88330209558</v>
      </c>
      <c r="F22" s="57">
        <f>E22*(1+'Rhaniad y Ddeiliadaeth (De-ddn)'!E$118)</f>
        <v>117922.61217197184</v>
      </c>
      <c r="G22" s="57">
        <f>F22*(1+'Rhaniad y Ddeiliadaeth (De-ddn)'!F$118)</f>
        <v>122521.49599651048</v>
      </c>
      <c r="H22" s="58">
        <f>G22*(1+'Rhaniad y Ddeiliadaeth (De-ddn)'!G$118)</f>
        <v>127603.6783268523</v>
      </c>
      <c r="L22" s="62" t="str">
        <f t="shared" si="0"/>
        <v/>
      </c>
      <c r="M22" s="239"/>
      <c r="N22" s="14">
        <f t="shared" si="3"/>
        <v>1</v>
      </c>
      <c r="T22" s="1">
        <f t="shared" si="1"/>
        <v>28</v>
      </c>
      <c r="U22" s="4" t="str">
        <f t="shared" si="2"/>
        <v/>
      </c>
      <c r="V22" s="4" t="e">
        <f>IF($V$3=$M$3,M22,U22*(1+'Rhaniad y Ddeiliadaeth (Cymru)'!C$118))</f>
        <v>#VALUE!</v>
      </c>
      <c r="W22" s="4" t="e">
        <f>V22*(1+'Rhaniad y Ddeiliadaeth (Cymru)'!D$118)</f>
        <v>#VALUE!</v>
      </c>
      <c r="X22" s="4" t="e">
        <f>W22*(1+'Rhaniad y Ddeiliadaeth (Cymru)'!E$118)</f>
        <v>#VALUE!</v>
      </c>
      <c r="Y22" s="4" t="e">
        <f>X22*(1+'Rhaniad y Ddeiliadaeth (Cymru)'!F$118)</f>
        <v>#VALUE!</v>
      </c>
      <c r="Z22" s="4" t="e">
        <f>Y22*(1+'Rhaniad y Ddeiliadaeth (Cymru)'!G$118)</f>
        <v>#VALUE!</v>
      </c>
      <c r="AB22" s="1">
        <v>28</v>
      </c>
      <c r="AC22" s="4">
        <f>IF('Rhaniad y Ddeiliadaeth (Cymru)'!$D$18="Data Cofrestrfa Tir",'Prisiau Tai (De-ddwyrain)'!D22,'Prisiau Tai (De-ddwyrain)'!V22)</f>
        <v>115181.42555282658</v>
      </c>
      <c r="AD22" s="4">
        <f>IF('Rhaniad y Ddeiliadaeth (Cymru)'!$D$18="Data Cofrestrfa Tir",'Prisiau Tai (De-ddwyrain)'!E22,'Prisiau Tai (De-ddwyrain)'!W22)</f>
        <v>115437.88330209558</v>
      </c>
      <c r="AE22" s="4">
        <f>IF('Rhaniad y Ddeiliadaeth (Cymru)'!$D$18="Data Cofrestrfa Tir",'Prisiau Tai (De-ddwyrain)'!F22,'Prisiau Tai (De-ddwyrain)'!X22)</f>
        <v>117922.61217197184</v>
      </c>
      <c r="AF22" s="4">
        <f>IF('Rhaniad y Ddeiliadaeth (Cymru)'!$D$18="Data Cofrestrfa Tir",'Prisiau Tai (De-ddwyrain)'!G22,'Prisiau Tai (De-ddwyrain)'!Y22)</f>
        <v>122521.49599651048</v>
      </c>
      <c r="AG22" s="4">
        <f>IF('Rhaniad y Ddeiliadaeth (Cymru)'!$D$18="Data Cofrestrfa Tir",'Prisiau Tai (De-ddwyrain)'!H22,'Prisiau Tai (De-ddwyrain)'!Z22)</f>
        <v>127603.6783268523</v>
      </c>
    </row>
    <row r="23" spans="2:33" x14ac:dyDescent="0.25">
      <c r="B23" s="20">
        <v>29</v>
      </c>
      <c r="C23" s="56">
        <v>115000</v>
      </c>
      <c r="D23" s="57">
        <f>C23*(1+'Rhaniad y Ddeiliadaeth (De-ddn)'!C$118)</f>
        <v>118266.64230870586</v>
      </c>
      <c r="E23" s="57">
        <f>D23*(1+'Rhaniad y Ddeiliadaeth (De-ddn)'!D$118)</f>
        <v>118529.96946197315</v>
      </c>
      <c r="F23" s="57">
        <f>E23*(1+'Rhaniad y Ddeiliadaeth (De-ddn)'!E$118)</f>
        <v>121081.25356943537</v>
      </c>
      <c r="G23" s="57">
        <f>F23*(1+'Rhaniad y Ddeiliadaeth (De-ddn)'!F$118)</f>
        <v>125803.3217821313</v>
      </c>
      <c r="H23" s="58">
        <f>G23*(1+'Rhaniad y Ddeiliadaeth (De-ddn)'!G$118)</f>
        <v>131021.63399632157</v>
      </c>
      <c r="L23" s="62" t="str">
        <f t="shared" si="0"/>
        <v/>
      </c>
      <c r="M23" s="239"/>
      <c r="N23" s="14">
        <f t="shared" si="3"/>
        <v>1</v>
      </c>
      <c r="T23" s="1">
        <f t="shared" si="1"/>
        <v>29</v>
      </c>
      <c r="U23" s="4" t="str">
        <f t="shared" si="2"/>
        <v/>
      </c>
      <c r="V23" s="4" t="e">
        <f>IF($V$3=$M$3,M23,U23*(1+'Rhaniad y Ddeiliadaeth (Cymru)'!C$118))</f>
        <v>#VALUE!</v>
      </c>
      <c r="W23" s="4" t="e">
        <f>V23*(1+'Rhaniad y Ddeiliadaeth (Cymru)'!D$118)</f>
        <v>#VALUE!</v>
      </c>
      <c r="X23" s="4" t="e">
        <f>W23*(1+'Rhaniad y Ddeiliadaeth (Cymru)'!E$118)</f>
        <v>#VALUE!</v>
      </c>
      <c r="Y23" s="4" t="e">
        <f>X23*(1+'Rhaniad y Ddeiliadaeth (Cymru)'!F$118)</f>
        <v>#VALUE!</v>
      </c>
      <c r="Z23" s="4" t="e">
        <f>Y23*(1+'Rhaniad y Ddeiliadaeth (Cymru)'!G$118)</f>
        <v>#VALUE!</v>
      </c>
      <c r="AB23" s="1">
        <v>29</v>
      </c>
      <c r="AC23" s="4">
        <f>IF('Rhaniad y Ddeiliadaeth (Cymru)'!$D$18="Data Cofrestrfa Tir",'Prisiau Tai (De-ddwyrain)'!D23,'Prisiau Tai (De-ddwyrain)'!V23)</f>
        <v>118266.64230870586</v>
      </c>
      <c r="AD23" s="4">
        <f>IF('Rhaniad y Ddeiliadaeth (Cymru)'!$D$18="Data Cofrestrfa Tir",'Prisiau Tai (De-ddwyrain)'!E23,'Prisiau Tai (De-ddwyrain)'!W23)</f>
        <v>118529.96946197315</v>
      </c>
      <c r="AE23" s="4">
        <f>IF('Rhaniad y Ddeiliadaeth (Cymru)'!$D$18="Data Cofrestrfa Tir",'Prisiau Tai (De-ddwyrain)'!F23,'Prisiau Tai (De-ddwyrain)'!X23)</f>
        <v>121081.25356943537</v>
      </c>
      <c r="AF23" s="4">
        <f>IF('Rhaniad y Ddeiliadaeth (Cymru)'!$D$18="Data Cofrestrfa Tir",'Prisiau Tai (De-ddwyrain)'!G23,'Prisiau Tai (De-ddwyrain)'!Y23)</f>
        <v>125803.3217821313</v>
      </c>
      <c r="AG23" s="4">
        <f>IF('Rhaniad y Ddeiliadaeth (Cymru)'!$D$18="Data Cofrestrfa Tir",'Prisiau Tai (De-ddwyrain)'!H23,'Prisiau Tai (De-ddwyrain)'!Z23)</f>
        <v>131021.63399632157</v>
      </c>
    </row>
    <row r="24" spans="2:33" x14ac:dyDescent="0.25">
      <c r="B24" s="20">
        <v>30</v>
      </c>
      <c r="C24" s="56">
        <v>116000</v>
      </c>
      <c r="D24" s="57">
        <f>C24*(1+'Rhaniad y Ddeiliadaeth (De-ddn)'!C$118)</f>
        <v>119295.04789399896</v>
      </c>
      <c r="E24" s="57">
        <f>D24*(1+'Rhaniad y Ddeiliadaeth (De-ddn)'!D$118)</f>
        <v>119560.66484859899</v>
      </c>
      <c r="F24" s="57">
        <f>E24*(1+'Rhaniad y Ddeiliadaeth (De-ddn)'!E$118)</f>
        <v>122134.13403525655</v>
      </c>
      <c r="G24" s="57">
        <f>F24*(1+'Rhaniad y Ddeiliadaeth (De-ddn)'!F$118)</f>
        <v>126897.26371067157</v>
      </c>
      <c r="H24" s="58">
        <f>G24*(1+'Rhaniad y Ddeiliadaeth (De-ddn)'!G$118)</f>
        <v>132160.95255281133</v>
      </c>
      <c r="L24" s="62" t="str">
        <f t="shared" si="0"/>
        <v/>
      </c>
      <c r="M24" s="239"/>
      <c r="N24" s="14">
        <f t="shared" si="3"/>
        <v>1</v>
      </c>
      <c r="T24" s="1">
        <f t="shared" si="1"/>
        <v>30</v>
      </c>
      <c r="U24" s="4" t="str">
        <f t="shared" si="2"/>
        <v/>
      </c>
      <c r="V24" s="4" t="e">
        <f>IF($V$3=$M$3,M24,U24*(1+'Rhaniad y Ddeiliadaeth (Cymru)'!C$118))</f>
        <v>#VALUE!</v>
      </c>
      <c r="W24" s="4" t="e">
        <f>V24*(1+'Rhaniad y Ddeiliadaeth (Cymru)'!D$118)</f>
        <v>#VALUE!</v>
      </c>
      <c r="X24" s="4" t="e">
        <f>W24*(1+'Rhaniad y Ddeiliadaeth (Cymru)'!E$118)</f>
        <v>#VALUE!</v>
      </c>
      <c r="Y24" s="4" t="e">
        <f>X24*(1+'Rhaniad y Ddeiliadaeth (Cymru)'!F$118)</f>
        <v>#VALUE!</v>
      </c>
      <c r="Z24" s="4" t="e">
        <f>Y24*(1+'Rhaniad y Ddeiliadaeth (Cymru)'!G$118)</f>
        <v>#VALUE!</v>
      </c>
      <c r="AB24" s="1">
        <v>30</v>
      </c>
      <c r="AC24" s="4">
        <f>IF('Rhaniad y Ddeiliadaeth (Cymru)'!$D$18="Data Cofrestrfa Tir",'Prisiau Tai (De-ddwyrain)'!D24,'Prisiau Tai (De-ddwyrain)'!V24)</f>
        <v>119295.04789399896</v>
      </c>
      <c r="AD24" s="4">
        <f>IF('Rhaniad y Ddeiliadaeth (Cymru)'!$D$18="Data Cofrestrfa Tir",'Prisiau Tai (De-ddwyrain)'!E24,'Prisiau Tai (De-ddwyrain)'!W24)</f>
        <v>119560.66484859899</v>
      </c>
      <c r="AE24" s="4">
        <f>IF('Rhaniad y Ddeiliadaeth (Cymru)'!$D$18="Data Cofrestrfa Tir",'Prisiau Tai (De-ddwyrain)'!F24,'Prisiau Tai (De-ddwyrain)'!X24)</f>
        <v>122134.13403525655</v>
      </c>
      <c r="AF24" s="4">
        <f>IF('Rhaniad y Ddeiliadaeth (Cymru)'!$D$18="Data Cofrestrfa Tir",'Prisiau Tai (De-ddwyrain)'!G24,'Prisiau Tai (De-ddwyrain)'!Y24)</f>
        <v>126897.26371067157</v>
      </c>
      <c r="AG24" s="4">
        <f>IF('Rhaniad y Ddeiliadaeth (Cymru)'!$D$18="Data Cofrestrfa Tir",'Prisiau Tai (De-ddwyrain)'!H24,'Prisiau Tai (De-ddwyrain)'!Z24)</f>
        <v>132160.95255281133</v>
      </c>
    </row>
    <row r="25" spans="2:33" x14ac:dyDescent="0.25">
      <c r="B25" s="20">
        <v>31</v>
      </c>
      <c r="C25" s="56">
        <v>118000</v>
      </c>
      <c r="D25" s="57">
        <f>C25*(1+'Rhaniad y Ddeiliadaeth (De-ddn)'!C$118)</f>
        <v>121351.85906458515</v>
      </c>
      <c r="E25" s="57">
        <f>D25*(1+'Rhaniad y Ddeiliadaeth (De-ddn)'!D$118)</f>
        <v>121622.05562185071</v>
      </c>
      <c r="F25" s="57">
        <f>E25*(1+'Rhaniad y Ddeiliadaeth (De-ddn)'!E$118)</f>
        <v>124239.89496689891</v>
      </c>
      <c r="G25" s="57">
        <f>F25*(1+'Rhaniad y Ddeiliadaeth (De-ddn)'!F$118)</f>
        <v>129085.14756775212</v>
      </c>
      <c r="H25" s="58">
        <f>G25*(1+'Rhaniad y Ddeiliadaeth (De-ddn)'!G$118)</f>
        <v>134439.58966579085</v>
      </c>
      <c r="L25" s="62" t="str">
        <f t="shared" si="0"/>
        <v/>
      </c>
      <c r="M25" s="239"/>
      <c r="N25" s="14">
        <f t="shared" si="3"/>
        <v>1</v>
      </c>
      <c r="T25" s="1">
        <f t="shared" si="1"/>
        <v>31</v>
      </c>
      <c r="U25" s="4" t="str">
        <f t="shared" si="2"/>
        <v/>
      </c>
      <c r="V25" s="4" t="e">
        <f>IF($V$3=$M$3,M25,U25*(1+'Rhaniad y Ddeiliadaeth (Cymru)'!C$118))</f>
        <v>#VALUE!</v>
      </c>
      <c r="W25" s="4" t="e">
        <f>V25*(1+'Rhaniad y Ddeiliadaeth (Cymru)'!D$118)</f>
        <v>#VALUE!</v>
      </c>
      <c r="X25" s="4" t="e">
        <f>W25*(1+'Rhaniad y Ddeiliadaeth (Cymru)'!E$118)</f>
        <v>#VALUE!</v>
      </c>
      <c r="Y25" s="4" t="e">
        <f>X25*(1+'Rhaniad y Ddeiliadaeth (Cymru)'!F$118)</f>
        <v>#VALUE!</v>
      </c>
      <c r="Z25" s="4" t="e">
        <f>Y25*(1+'Rhaniad y Ddeiliadaeth (Cymru)'!G$118)</f>
        <v>#VALUE!</v>
      </c>
      <c r="AB25" s="1">
        <v>31</v>
      </c>
      <c r="AC25" s="4">
        <f>IF('Rhaniad y Ddeiliadaeth (Cymru)'!$D$18="Data Cofrestrfa Tir",'Prisiau Tai (De-ddwyrain)'!D25,'Prisiau Tai (De-ddwyrain)'!V25)</f>
        <v>121351.85906458515</v>
      </c>
      <c r="AD25" s="4">
        <f>IF('Rhaniad y Ddeiliadaeth (Cymru)'!$D$18="Data Cofrestrfa Tir",'Prisiau Tai (De-ddwyrain)'!E25,'Prisiau Tai (De-ddwyrain)'!W25)</f>
        <v>121622.05562185071</v>
      </c>
      <c r="AE25" s="4">
        <f>IF('Rhaniad y Ddeiliadaeth (Cymru)'!$D$18="Data Cofrestrfa Tir",'Prisiau Tai (De-ddwyrain)'!F25,'Prisiau Tai (De-ddwyrain)'!X25)</f>
        <v>124239.89496689891</v>
      </c>
      <c r="AF25" s="4">
        <f>IF('Rhaniad y Ddeiliadaeth (Cymru)'!$D$18="Data Cofrestrfa Tir",'Prisiau Tai (De-ddwyrain)'!G25,'Prisiau Tai (De-ddwyrain)'!Y25)</f>
        <v>129085.14756775212</v>
      </c>
      <c r="AG25" s="4">
        <f>IF('Rhaniad y Ddeiliadaeth (Cymru)'!$D$18="Data Cofrestrfa Tir",'Prisiau Tai (De-ddwyrain)'!H25,'Prisiau Tai (De-ddwyrain)'!Z25)</f>
        <v>134439.58966579085</v>
      </c>
    </row>
    <row r="26" spans="2:33" x14ac:dyDescent="0.25">
      <c r="B26" s="20">
        <v>32</v>
      </c>
      <c r="C26" s="56">
        <v>120000</v>
      </c>
      <c r="D26" s="57">
        <f>C26*(1+'Rhaniad y Ddeiliadaeth (De-ddn)'!C$118)</f>
        <v>123408.67023517133</v>
      </c>
      <c r="E26" s="57">
        <f>D26*(1+'Rhaniad y Ddeiliadaeth (De-ddn)'!D$118)</f>
        <v>123683.44639510241</v>
      </c>
      <c r="F26" s="57">
        <f>E26*(1+'Rhaniad y Ddeiliadaeth (De-ddn)'!E$118)</f>
        <v>126345.65589854126</v>
      </c>
      <c r="G26" s="57">
        <f>F26*(1+'Rhaniad y Ddeiliadaeth (De-ddn)'!F$118)</f>
        <v>131273.03142483268</v>
      </c>
      <c r="H26" s="58">
        <f>G26*(1+'Rhaniad y Ddeiliadaeth (De-ddn)'!G$118)</f>
        <v>136718.22677877033</v>
      </c>
      <c r="L26" s="62" t="str">
        <f t="shared" si="0"/>
        <v/>
      </c>
      <c r="M26" s="239"/>
      <c r="N26" s="14">
        <f t="shared" si="3"/>
        <v>1</v>
      </c>
      <c r="T26" s="1">
        <f t="shared" si="1"/>
        <v>32</v>
      </c>
      <c r="U26" s="4" t="str">
        <f t="shared" si="2"/>
        <v/>
      </c>
      <c r="V26" s="4" t="e">
        <f>IF($V$3=$M$3,M26,U26*(1+'Rhaniad y Ddeiliadaeth (Cymru)'!C$118))</f>
        <v>#VALUE!</v>
      </c>
      <c r="W26" s="4" t="e">
        <f>V26*(1+'Rhaniad y Ddeiliadaeth (Cymru)'!D$118)</f>
        <v>#VALUE!</v>
      </c>
      <c r="X26" s="4" t="e">
        <f>W26*(1+'Rhaniad y Ddeiliadaeth (Cymru)'!E$118)</f>
        <v>#VALUE!</v>
      </c>
      <c r="Y26" s="4" t="e">
        <f>X26*(1+'Rhaniad y Ddeiliadaeth (Cymru)'!F$118)</f>
        <v>#VALUE!</v>
      </c>
      <c r="Z26" s="4" t="e">
        <f>Y26*(1+'Rhaniad y Ddeiliadaeth (Cymru)'!G$118)</f>
        <v>#VALUE!</v>
      </c>
      <c r="AB26" s="1">
        <v>32</v>
      </c>
      <c r="AC26" s="4">
        <f>IF('Rhaniad y Ddeiliadaeth (Cymru)'!$D$18="Data Cofrestrfa Tir",'Prisiau Tai (De-ddwyrain)'!D26,'Prisiau Tai (De-ddwyrain)'!V26)</f>
        <v>123408.67023517133</v>
      </c>
      <c r="AD26" s="4">
        <f>IF('Rhaniad y Ddeiliadaeth (Cymru)'!$D$18="Data Cofrestrfa Tir",'Prisiau Tai (De-ddwyrain)'!E26,'Prisiau Tai (De-ddwyrain)'!W26)</f>
        <v>123683.44639510241</v>
      </c>
      <c r="AE26" s="4">
        <f>IF('Rhaniad y Ddeiliadaeth (Cymru)'!$D$18="Data Cofrestrfa Tir",'Prisiau Tai (De-ddwyrain)'!F26,'Prisiau Tai (De-ddwyrain)'!X26)</f>
        <v>126345.65589854126</v>
      </c>
      <c r="AF26" s="4">
        <f>IF('Rhaniad y Ddeiliadaeth (Cymru)'!$D$18="Data Cofrestrfa Tir",'Prisiau Tai (De-ddwyrain)'!G26,'Prisiau Tai (De-ddwyrain)'!Y26)</f>
        <v>131273.03142483268</v>
      </c>
      <c r="AG26" s="4">
        <f>IF('Rhaniad y Ddeiliadaeth (Cymru)'!$D$18="Data Cofrestrfa Tir",'Prisiau Tai (De-ddwyrain)'!H26,'Prisiau Tai (De-ddwyrain)'!Z26)</f>
        <v>136718.22677877033</v>
      </c>
    </row>
    <row r="27" spans="2:33" x14ac:dyDescent="0.25">
      <c r="B27" s="20">
        <v>33</v>
      </c>
      <c r="C27" s="56">
        <v>121000</v>
      </c>
      <c r="D27" s="57">
        <f>C27*(1+'Rhaniad y Ddeiliadaeth (De-ddn)'!C$118)</f>
        <v>124437.07582046442</v>
      </c>
      <c r="E27" s="57">
        <f>D27*(1+'Rhaniad y Ddeiliadaeth (De-ddn)'!D$118)</f>
        <v>124714.14178172825</v>
      </c>
      <c r="F27" s="57">
        <f>E27*(1+'Rhaniad y Ddeiliadaeth (De-ddn)'!E$118)</f>
        <v>127398.53636436243</v>
      </c>
      <c r="G27" s="57">
        <f>F27*(1+'Rhaniad y Ddeiliadaeth (De-ddn)'!F$118)</f>
        <v>132366.97335337292</v>
      </c>
      <c r="H27" s="58">
        <f>G27*(1+'Rhaniad y Ddeiliadaeth (De-ddn)'!G$118)</f>
        <v>137857.54533526007</v>
      </c>
      <c r="L27" s="62" t="str">
        <f t="shared" si="0"/>
        <v/>
      </c>
      <c r="M27" s="239"/>
      <c r="N27" s="14">
        <f t="shared" si="3"/>
        <v>1</v>
      </c>
      <c r="T27" s="1">
        <f t="shared" si="1"/>
        <v>33</v>
      </c>
      <c r="U27" s="4" t="str">
        <f t="shared" si="2"/>
        <v/>
      </c>
      <c r="V27" s="4" t="e">
        <f>IF($V$3=$M$3,M27,U27*(1+'Rhaniad y Ddeiliadaeth (Cymru)'!C$118))</f>
        <v>#VALUE!</v>
      </c>
      <c r="W27" s="4" t="e">
        <f>V27*(1+'Rhaniad y Ddeiliadaeth (Cymru)'!D$118)</f>
        <v>#VALUE!</v>
      </c>
      <c r="X27" s="4" t="e">
        <f>W27*(1+'Rhaniad y Ddeiliadaeth (Cymru)'!E$118)</f>
        <v>#VALUE!</v>
      </c>
      <c r="Y27" s="4" t="e">
        <f>X27*(1+'Rhaniad y Ddeiliadaeth (Cymru)'!F$118)</f>
        <v>#VALUE!</v>
      </c>
      <c r="Z27" s="4" t="e">
        <f>Y27*(1+'Rhaniad y Ddeiliadaeth (Cymru)'!G$118)</f>
        <v>#VALUE!</v>
      </c>
      <c r="AB27" s="1">
        <v>33</v>
      </c>
      <c r="AC27" s="4">
        <f>IF('Rhaniad y Ddeiliadaeth (Cymru)'!$D$18="Data Cofrestrfa Tir",'Prisiau Tai (De-ddwyrain)'!D27,'Prisiau Tai (De-ddwyrain)'!V27)</f>
        <v>124437.07582046442</v>
      </c>
      <c r="AD27" s="4">
        <f>IF('Rhaniad y Ddeiliadaeth (Cymru)'!$D$18="Data Cofrestrfa Tir",'Prisiau Tai (De-ddwyrain)'!E27,'Prisiau Tai (De-ddwyrain)'!W27)</f>
        <v>124714.14178172825</v>
      </c>
      <c r="AE27" s="4">
        <f>IF('Rhaniad y Ddeiliadaeth (Cymru)'!$D$18="Data Cofrestrfa Tir",'Prisiau Tai (De-ddwyrain)'!F27,'Prisiau Tai (De-ddwyrain)'!X27)</f>
        <v>127398.53636436243</v>
      </c>
      <c r="AF27" s="4">
        <f>IF('Rhaniad y Ddeiliadaeth (Cymru)'!$D$18="Data Cofrestrfa Tir",'Prisiau Tai (De-ddwyrain)'!G27,'Prisiau Tai (De-ddwyrain)'!Y27)</f>
        <v>132366.97335337292</v>
      </c>
      <c r="AG27" s="4">
        <f>IF('Rhaniad y Ddeiliadaeth (Cymru)'!$D$18="Data Cofrestrfa Tir",'Prisiau Tai (De-ddwyrain)'!H27,'Prisiau Tai (De-ddwyrain)'!Z27)</f>
        <v>137857.54533526007</v>
      </c>
    </row>
    <row r="28" spans="2:33" x14ac:dyDescent="0.25">
      <c r="B28" s="20">
        <v>34</v>
      </c>
      <c r="C28" s="56">
        <v>124000</v>
      </c>
      <c r="D28" s="57">
        <f>C28*(1+'Rhaniad y Ddeiliadaeth (De-ddn)'!C$118)</f>
        <v>127522.29257634371</v>
      </c>
      <c r="E28" s="57">
        <f>D28*(1+'Rhaniad y Ddeiliadaeth (De-ddn)'!D$118)</f>
        <v>127806.22794160582</v>
      </c>
      <c r="F28" s="57">
        <f>E28*(1+'Rhaniad y Ddeiliadaeth (De-ddn)'!E$118)</f>
        <v>130557.17776182597</v>
      </c>
      <c r="G28" s="57">
        <f>F28*(1+'Rhaniad y Ddeiliadaeth (De-ddn)'!F$118)</f>
        <v>135648.79913899375</v>
      </c>
      <c r="H28" s="58">
        <f>G28*(1+'Rhaniad y Ddeiliadaeth (De-ddn)'!G$118)</f>
        <v>141275.50100472933</v>
      </c>
      <c r="L28" s="62" t="str">
        <f t="shared" si="0"/>
        <v/>
      </c>
      <c r="M28" s="239"/>
      <c r="N28" s="14">
        <f t="shared" si="3"/>
        <v>1</v>
      </c>
      <c r="T28" s="1">
        <f t="shared" si="1"/>
        <v>34</v>
      </c>
      <c r="U28" s="4" t="str">
        <f t="shared" si="2"/>
        <v/>
      </c>
      <c r="V28" s="4" t="e">
        <f>IF($V$3=$M$3,M28,U28*(1+'Rhaniad y Ddeiliadaeth (Cymru)'!C$118))</f>
        <v>#VALUE!</v>
      </c>
      <c r="W28" s="4" t="e">
        <f>V28*(1+'Rhaniad y Ddeiliadaeth (Cymru)'!D$118)</f>
        <v>#VALUE!</v>
      </c>
      <c r="X28" s="4" t="e">
        <f>W28*(1+'Rhaniad y Ddeiliadaeth (Cymru)'!E$118)</f>
        <v>#VALUE!</v>
      </c>
      <c r="Y28" s="4" t="e">
        <f>X28*(1+'Rhaniad y Ddeiliadaeth (Cymru)'!F$118)</f>
        <v>#VALUE!</v>
      </c>
      <c r="Z28" s="4" t="e">
        <f>Y28*(1+'Rhaniad y Ddeiliadaeth (Cymru)'!G$118)</f>
        <v>#VALUE!</v>
      </c>
      <c r="AB28" s="1">
        <v>34</v>
      </c>
      <c r="AC28" s="4">
        <f>IF('Rhaniad y Ddeiliadaeth (Cymru)'!$D$18="Data Cofrestrfa Tir",'Prisiau Tai (De-ddwyrain)'!D28,'Prisiau Tai (De-ddwyrain)'!V28)</f>
        <v>127522.29257634371</v>
      </c>
      <c r="AD28" s="4">
        <f>IF('Rhaniad y Ddeiliadaeth (Cymru)'!$D$18="Data Cofrestrfa Tir",'Prisiau Tai (De-ddwyrain)'!E28,'Prisiau Tai (De-ddwyrain)'!W28)</f>
        <v>127806.22794160582</v>
      </c>
      <c r="AE28" s="4">
        <f>IF('Rhaniad y Ddeiliadaeth (Cymru)'!$D$18="Data Cofrestrfa Tir",'Prisiau Tai (De-ddwyrain)'!F28,'Prisiau Tai (De-ddwyrain)'!X28)</f>
        <v>130557.17776182597</v>
      </c>
      <c r="AF28" s="4">
        <f>IF('Rhaniad y Ddeiliadaeth (Cymru)'!$D$18="Data Cofrestrfa Tir",'Prisiau Tai (De-ddwyrain)'!G28,'Prisiau Tai (De-ddwyrain)'!Y28)</f>
        <v>135648.79913899375</v>
      </c>
      <c r="AG28" s="4">
        <f>IF('Rhaniad y Ddeiliadaeth (Cymru)'!$D$18="Data Cofrestrfa Tir",'Prisiau Tai (De-ddwyrain)'!H28,'Prisiau Tai (De-ddwyrain)'!Z28)</f>
        <v>141275.50100472933</v>
      </c>
    </row>
    <row r="29" spans="2:33" x14ac:dyDescent="0.25">
      <c r="B29" s="20">
        <v>35</v>
      </c>
      <c r="C29" s="56">
        <v>125000</v>
      </c>
      <c r="D29" s="57">
        <f>C29*(1+'Rhaniad y Ddeiliadaeth (De-ddn)'!C$118)</f>
        <v>128550.6981616368</v>
      </c>
      <c r="E29" s="57">
        <f>D29*(1+'Rhaniad y Ddeiliadaeth (De-ddn)'!D$118)</f>
        <v>128836.92332823167</v>
      </c>
      <c r="F29" s="57">
        <f>E29*(1+'Rhaniad y Ddeiliadaeth (De-ddn)'!E$118)</f>
        <v>131610.05822764715</v>
      </c>
      <c r="G29" s="57">
        <f>F29*(1+'Rhaniad y Ddeiliadaeth (De-ddn)'!F$118)</f>
        <v>136742.74106753402</v>
      </c>
      <c r="H29" s="58">
        <f>G29*(1+'Rhaniad y Ddeiliadaeth (De-ddn)'!G$118)</f>
        <v>142414.8195612191</v>
      </c>
      <c r="L29" s="62" t="str">
        <f t="shared" si="0"/>
        <v/>
      </c>
      <c r="M29" s="239"/>
      <c r="N29" s="14">
        <f t="shared" si="3"/>
        <v>1</v>
      </c>
      <c r="T29" s="1">
        <f t="shared" si="1"/>
        <v>35</v>
      </c>
      <c r="U29" s="4" t="str">
        <f t="shared" si="2"/>
        <v/>
      </c>
      <c r="V29" s="4" t="e">
        <f>IF($V$3=$M$3,M29,U29*(1+'Rhaniad y Ddeiliadaeth (Cymru)'!C$118))</f>
        <v>#VALUE!</v>
      </c>
      <c r="W29" s="4" t="e">
        <f>V29*(1+'Rhaniad y Ddeiliadaeth (Cymru)'!D$118)</f>
        <v>#VALUE!</v>
      </c>
      <c r="X29" s="4" t="e">
        <f>W29*(1+'Rhaniad y Ddeiliadaeth (Cymru)'!E$118)</f>
        <v>#VALUE!</v>
      </c>
      <c r="Y29" s="4" t="e">
        <f>X29*(1+'Rhaniad y Ddeiliadaeth (Cymru)'!F$118)</f>
        <v>#VALUE!</v>
      </c>
      <c r="Z29" s="4" t="e">
        <f>Y29*(1+'Rhaniad y Ddeiliadaeth (Cymru)'!G$118)</f>
        <v>#VALUE!</v>
      </c>
      <c r="AB29" s="1">
        <v>35</v>
      </c>
      <c r="AC29" s="4">
        <f>IF('Rhaniad y Ddeiliadaeth (Cymru)'!$D$18="Data Cofrestrfa Tir",'Prisiau Tai (De-ddwyrain)'!D29,'Prisiau Tai (De-ddwyrain)'!V29)</f>
        <v>128550.6981616368</v>
      </c>
      <c r="AD29" s="4">
        <f>IF('Rhaniad y Ddeiliadaeth (Cymru)'!$D$18="Data Cofrestrfa Tir",'Prisiau Tai (De-ddwyrain)'!E29,'Prisiau Tai (De-ddwyrain)'!W29)</f>
        <v>128836.92332823167</v>
      </c>
      <c r="AE29" s="4">
        <f>IF('Rhaniad y Ddeiliadaeth (Cymru)'!$D$18="Data Cofrestrfa Tir",'Prisiau Tai (De-ddwyrain)'!F29,'Prisiau Tai (De-ddwyrain)'!X29)</f>
        <v>131610.05822764715</v>
      </c>
      <c r="AF29" s="4">
        <f>IF('Rhaniad y Ddeiliadaeth (Cymru)'!$D$18="Data Cofrestrfa Tir",'Prisiau Tai (De-ddwyrain)'!G29,'Prisiau Tai (De-ddwyrain)'!Y29)</f>
        <v>136742.74106753402</v>
      </c>
      <c r="AG29" s="4">
        <f>IF('Rhaniad y Ddeiliadaeth (Cymru)'!$D$18="Data Cofrestrfa Tir",'Prisiau Tai (De-ddwyrain)'!H29,'Prisiau Tai (De-ddwyrain)'!Z29)</f>
        <v>142414.8195612191</v>
      </c>
    </row>
    <row r="30" spans="2:33" x14ac:dyDescent="0.25">
      <c r="B30" s="20">
        <v>36</v>
      </c>
      <c r="C30" s="56">
        <v>127000</v>
      </c>
      <c r="D30" s="57">
        <f>C30*(1+'Rhaniad y Ddeiliadaeth (De-ddn)'!C$118)</f>
        <v>130607.50933222299</v>
      </c>
      <c r="E30" s="57">
        <f>D30*(1+'Rhaniad y Ddeiliadaeth (De-ddn)'!D$118)</f>
        <v>130898.31410148338</v>
      </c>
      <c r="F30" s="57">
        <f>E30*(1+'Rhaniad y Ddeiliadaeth (De-ddn)'!E$118)</f>
        <v>133715.8191592895</v>
      </c>
      <c r="G30" s="57">
        <f>F30*(1+'Rhaniad y Ddeiliadaeth (De-ddn)'!F$118)</f>
        <v>138930.62492461456</v>
      </c>
      <c r="H30" s="58">
        <f>G30*(1+'Rhaniad y Ddeiliadaeth (De-ddn)'!G$118)</f>
        <v>144693.45667419859</v>
      </c>
      <c r="L30" s="62" t="str">
        <f t="shared" si="0"/>
        <v/>
      </c>
      <c r="M30" s="239"/>
      <c r="N30" s="14">
        <f t="shared" si="3"/>
        <v>1</v>
      </c>
      <c r="T30" s="1">
        <f t="shared" si="1"/>
        <v>36</v>
      </c>
      <c r="U30" s="4" t="str">
        <f t="shared" si="2"/>
        <v/>
      </c>
      <c r="V30" s="4" t="e">
        <f>IF($V$3=$M$3,M30,U30*(1+'Rhaniad y Ddeiliadaeth (Cymru)'!C$118))</f>
        <v>#VALUE!</v>
      </c>
      <c r="W30" s="4" t="e">
        <f>V30*(1+'Rhaniad y Ddeiliadaeth (Cymru)'!D$118)</f>
        <v>#VALUE!</v>
      </c>
      <c r="X30" s="4" t="e">
        <f>W30*(1+'Rhaniad y Ddeiliadaeth (Cymru)'!E$118)</f>
        <v>#VALUE!</v>
      </c>
      <c r="Y30" s="4" t="e">
        <f>X30*(1+'Rhaniad y Ddeiliadaeth (Cymru)'!F$118)</f>
        <v>#VALUE!</v>
      </c>
      <c r="Z30" s="4" t="e">
        <f>Y30*(1+'Rhaniad y Ddeiliadaeth (Cymru)'!G$118)</f>
        <v>#VALUE!</v>
      </c>
      <c r="AB30" s="1">
        <v>36</v>
      </c>
      <c r="AC30" s="4">
        <f>IF('Rhaniad y Ddeiliadaeth (Cymru)'!$D$18="Data Cofrestrfa Tir",'Prisiau Tai (De-ddwyrain)'!D30,'Prisiau Tai (De-ddwyrain)'!V30)</f>
        <v>130607.50933222299</v>
      </c>
      <c r="AD30" s="4">
        <f>IF('Rhaniad y Ddeiliadaeth (Cymru)'!$D$18="Data Cofrestrfa Tir",'Prisiau Tai (De-ddwyrain)'!E30,'Prisiau Tai (De-ddwyrain)'!W30)</f>
        <v>130898.31410148338</v>
      </c>
      <c r="AE30" s="4">
        <f>IF('Rhaniad y Ddeiliadaeth (Cymru)'!$D$18="Data Cofrestrfa Tir",'Prisiau Tai (De-ddwyrain)'!F30,'Prisiau Tai (De-ddwyrain)'!X30)</f>
        <v>133715.8191592895</v>
      </c>
      <c r="AF30" s="4">
        <f>IF('Rhaniad y Ddeiliadaeth (Cymru)'!$D$18="Data Cofrestrfa Tir",'Prisiau Tai (De-ddwyrain)'!G30,'Prisiau Tai (De-ddwyrain)'!Y30)</f>
        <v>138930.62492461456</v>
      </c>
      <c r="AG30" s="4">
        <f>IF('Rhaniad y Ddeiliadaeth (Cymru)'!$D$18="Data Cofrestrfa Tir",'Prisiau Tai (De-ddwyrain)'!H30,'Prisiau Tai (De-ddwyrain)'!Z30)</f>
        <v>144693.45667419859</v>
      </c>
    </row>
    <row r="31" spans="2:33" x14ac:dyDescent="0.25">
      <c r="B31" s="20">
        <v>37</v>
      </c>
      <c r="C31" s="56">
        <v>129000</v>
      </c>
      <c r="D31" s="57">
        <f>C31*(1+'Rhaniad y Ddeiliadaeth (De-ddn)'!C$118)</f>
        <v>132664.32050280919</v>
      </c>
      <c r="E31" s="57">
        <f>D31*(1+'Rhaniad y Ddeiliadaeth (De-ddn)'!D$118)</f>
        <v>132959.70487473509</v>
      </c>
      <c r="F31" s="57">
        <f>E31*(1+'Rhaniad y Ddeiliadaeth (De-ddn)'!E$118)</f>
        <v>135821.58009093185</v>
      </c>
      <c r="G31" s="57">
        <f>F31*(1+'Rhaniad y Ddeiliadaeth (De-ddn)'!F$118)</f>
        <v>141118.5087816951</v>
      </c>
      <c r="H31" s="58">
        <f>G31*(1+'Rhaniad y Ddeiliadaeth (De-ddn)'!G$118)</f>
        <v>146972.09378717808</v>
      </c>
      <c r="L31" s="62" t="str">
        <f t="shared" si="0"/>
        <v/>
      </c>
      <c r="M31" s="239"/>
      <c r="N31" s="14">
        <f t="shared" si="3"/>
        <v>1</v>
      </c>
      <c r="T31" s="1">
        <f t="shared" si="1"/>
        <v>37</v>
      </c>
      <c r="U31" s="4" t="str">
        <f t="shared" si="2"/>
        <v/>
      </c>
      <c r="V31" s="4" t="e">
        <f>IF($V$3=$M$3,M31,U31*(1+'Rhaniad y Ddeiliadaeth (Cymru)'!C$118))</f>
        <v>#VALUE!</v>
      </c>
      <c r="W31" s="4" t="e">
        <f>V31*(1+'Rhaniad y Ddeiliadaeth (Cymru)'!D$118)</f>
        <v>#VALUE!</v>
      </c>
      <c r="X31" s="4" t="e">
        <f>W31*(1+'Rhaniad y Ddeiliadaeth (Cymru)'!E$118)</f>
        <v>#VALUE!</v>
      </c>
      <c r="Y31" s="4" t="e">
        <f>X31*(1+'Rhaniad y Ddeiliadaeth (Cymru)'!F$118)</f>
        <v>#VALUE!</v>
      </c>
      <c r="Z31" s="4" t="e">
        <f>Y31*(1+'Rhaniad y Ddeiliadaeth (Cymru)'!G$118)</f>
        <v>#VALUE!</v>
      </c>
      <c r="AB31" s="1">
        <v>37</v>
      </c>
      <c r="AC31" s="4">
        <f>IF('Rhaniad y Ddeiliadaeth (Cymru)'!$D$18="Data Cofrestrfa Tir",'Prisiau Tai (De-ddwyrain)'!D31,'Prisiau Tai (De-ddwyrain)'!V31)</f>
        <v>132664.32050280919</v>
      </c>
      <c r="AD31" s="4">
        <f>IF('Rhaniad y Ddeiliadaeth (Cymru)'!$D$18="Data Cofrestrfa Tir",'Prisiau Tai (De-ddwyrain)'!E31,'Prisiau Tai (De-ddwyrain)'!W31)</f>
        <v>132959.70487473509</v>
      </c>
      <c r="AE31" s="4">
        <f>IF('Rhaniad y Ddeiliadaeth (Cymru)'!$D$18="Data Cofrestrfa Tir",'Prisiau Tai (De-ddwyrain)'!F31,'Prisiau Tai (De-ddwyrain)'!X31)</f>
        <v>135821.58009093185</v>
      </c>
      <c r="AF31" s="4">
        <f>IF('Rhaniad y Ddeiliadaeth (Cymru)'!$D$18="Data Cofrestrfa Tir",'Prisiau Tai (De-ddwyrain)'!G31,'Prisiau Tai (De-ddwyrain)'!Y31)</f>
        <v>141118.5087816951</v>
      </c>
      <c r="AG31" s="4">
        <f>IF('Rhaniad y Ddeiliadaeth (Cymru)'!$D$18="Data Cofrestrfa Tir",'Prisiau Tai (De-ddwyrain)'!H31,'Prisiau Tai (De-ddwyrain)'!Z31)</f>
        <v>146972.09378717808</v>
      </c>
    </row>
    <row r="32" spans="2:33" x14ac:dyDescent="0.25">
      <c r="B32" s="20">
        <v>38</v>
      </c>
      <c r="C32" s="56">
        <v>130000</v>
      </c>
      <c r="D32" s="57">
        <f>C32*(1+'Rhaniad y Ddeiliadaeth (De-ddn)'!C$118)</f>
        <v>133692.72608810227</v>
      </c>
      <c r="E32" s="57">
        <f>D32*(1+'Rhaniad y Ddeiliadaeth (De-ddn)'!D$118)</f>
        <v>133990.40026136092</v>
      </c>
      <c r="F32" s="57">
        <f>E32*(1+'Rhaniad y Ddeiliadaeth (De-ddn)'!E$118)</f>
        <v>136874.46055675301</v>
      </c>
      <c r="G32" s="57">
        <f>F32*(1+'Rhaniad y Ddeiliadaeth (De-ddn)'!F$118)</f>
        <v>142212.45071023537</v>
      </c>
      <c r="H32" s="58">
        <f>G32*(1+'Rhaniad y Ddeiliadaeth (De-ddn)'!G$118)</f>
        <v>148111.41234366785</v>
      </c>
      <c r="L32" s="62" t="str">
        <f t="shared" si="0"/>
        <v/>
      </c>
      <c r="M32" s="239"/>
      <c r="N32" s="14">
        <f t="shared" si="3"/>
        <v>1</v>
      </c>
      <c r="T32" s="1">
        <f t="shared" si="1"/>
        <v>38</v>
      </c>
      <c r="U32" s="4" t="str">
        <f t="shared" si="2"/>
        <v/>
      </c>
      <c r="V32" s="4" t="e">
        <f>IF($V$3=$M$3,M32,U32*(1+'Rhaniad y Ddeiliadaeth (Cymru)'!C$118))</f>
        <v>#VALUE!</v>
      </c>
      <c r="W32" s="4" t="e">
        <f>V32*(1+'Rhaniad y Ddeiliadaeth (Cymru)'!D$118)</f>
        <v>#VALUE!</v>
      </c>
      <c r="X32" s="4" t="e">
        <f>W32*(1+'Rhaniad y Ddeiliadaeth (Cymru)'!E$118)</f>
        <v>#VALUE!</v>
      </c>
      <c r="Y32" s="4" t="e">
        <f>X32*(1+'Rhaniad y Ddeiliadaeth (Cymru)'!F$118)</f>
        <v>#VALUE!</v>
      </c>
      <c r="Z32" s="4" t="e">
        <f>Y32*(1+'Rhaniad y Ddeiliadaeth (Cymru)'!G$118)</f>
        <v>#VALUE!</v>
      </c>
      <c r="AB32" s="1">
        <v>38</v>
      </c>
      <c r="AC32" s="4">
        <f>IF('Rhaniad y Ddeiliadaeth (Cymru)'!$D$18="Data Cofrestrfa Tir",'Prisiau Tai (De-ddwyrain)'!D32,'Prisiau Tai (De-ddwyrain)'!V32)</f>
        <v>133692.72608810227</v>
      </c>
      <c r="AD32" s="4">
        <f>IF('Rhaniad y Ddeiliadaeth (Cymru)'!$D$18="Data Cofrestrfa Tir",'Prisiau Tai (De-ddwyrain)'!E32,'Prisiau Tai (De-ddwyrain)'!W32)</f>
        <v>133990.40026136092</v>
      </c>
      <c r="AE32" s="4">
        <f>IF('Rhaniad y Ddeiliadaeth (Cymru)'!$D$18="Data Cofrestrfa Tir",'Prisiau Tai (De-ddwyrain)'!F32,'Prisiau Tai (De-ddwyrain)'!X32)</f>
        <v>136874.46055675301</v>
      </c>
      <c r="AF32" s="4">
        <f>IF('Rhaniad y Ddeiliadaeth (Cymru)'!$D$18="Data Cofrestrfa Tir",'Prisiau Tai (De-ddwyrain)'!G32,'Prisiau Tai (De-ddwyrain)'!Y32)</f>
        <v>142212.45071023537</v>
      </c>
      <c r="AG32" s="4">
        <f>IF('Rhaniad y Ddeiliadaeth (Cymru)'!$D$18="Data Cofrestrfa Tir",'Prisiau Tai (De-ddwyrain)'!H32,'Prisiau Tai (De-ddwyrain)'!Z32)</f>
        <v>148111.41234366785</v>
      </c>
    </row>
    <row r="33" spans="2:33" x14ac:dyDescent="0.25">
      <c r="B33" s="20">
        <v>39</v>
      </c>
      <c r="C33" s="56">
        <v>132000</v>
      </c>
      <c r="D33" s="57">
        <f>C33*(1+'Rhaniad y Ddeiliadaeth (De-ddn)'!C$118)</f>
        <v>135749.53725868848</v>
      </c>
      <c r="E33" s="57">
        <f>D33*(1+'Rhaniad y Ddeiliadaeth (De-ddn)'!D$118)</f>
        <v>136051.79103461266</v>
      </c>
      <c r="F33" s="57">
        <f>E33*(1+'Rhaniad y Ddeiliadaeth (De-ddn)'!E$118)</f>
        <v>138980.22148839539</v>
      </c>
      <c r="G33" s="57">
        <f>F33*(1+'Rhaniad y Ddeiliadaeth (De-ddn)'!F$118)</f>
        <v>144400.33456731593</v>
      </c>
      <c r="H33" s="58">
        <f>G33*(1+'Rhaniad y Ddeiliadaeth (De-ddn)'!G$118)</f>
        <v>150390.04945664736</v>
      </c>
      <c r="L33" s="62" t="str">
        <f t="shared" si="0"/>
        <v/>
      </c>
      <c r="M33" s="239"/>
      <c r="N33" s="14">
        <f t="shared" si="3"/>
        <v>1</v>
      </c>
      <c r="T33" s="1">
        <f t="shared" si="1"/>
        <v>39</v>
      </c>
      <c r="U33" s="4" t="str">
        <f t="shared" si="2"/>
        <v/>
      </c>
      <c r="V33" s="4" t="e">
        <f>IF($V$3=$M$3,M33,U33*(1+'Rhaniad y Ddeiliadaeth (Cymru)'!C$118))</f>
        <v>#VALUE!</v>
      </c>
      <c r="W33" s="4" t="e">
        <f>V33*(1+'Rhaniad y Ddeiliadaeth (Cymru)'!D$118)</f>
        <v>#VALUE!</v>
      </c>
      <c r="X33" s="4" t="e">
        <f>W33*(1+'Rhaniad y Ddeiliadaeth (Cymru)'!E$118)</f>
        <v>#VALUE!</v>
      </c>
      <c r="Y33" s="4" t="e">
        <f>X33*(1+'Rhaniad y Ddeiliadaeth (Cymru)'!F$118)</f>
        <v>#VALUE!</v>
      </c>
      <c r="Z33" s="4" t="e">
        <f>Y33*(1+'Rhaniad y Ddeiliadaeth (Cymru)'!G$118)</f>
        <v>#VALUE!</v>
      </c>
      <c r="AB33" s="1">
        <v>39</v>
      </c>
      <c r="AC33" s="4">
        <f>IF('Rhaniad y Ddeiliadaeth (Cymru)'!$D$18="Data Cofrestrfa Tir",'Prisiau Tai (De-ddwyrain)'!D33,'Prisiau Tai (De-ddwyrain)'!V33)</f>
        <v>135749.53725868848</v>
      </c>
      <c r="AD33" s="4">
        <f>IF('Rhaniad y Ddeiliadaeth (Cymru)'!$D$18="Data Cofrestrfa Tir",'Prisiau Tai (De-ddwyrain)'!E33,'Prisiau Tai (De-ddwyrain)'!W33)</f>
        <v>136051.79103461266</v>
      </c>
      <c r="AE33" s="4">
        <f>IF('Rhaniad y Ddeiliadaeth (Cymru)'!$D$18="Data Cofrestrfa Tir",'Prisiau Tai (De-ddwyrain)'!F33,'Prisiau Tai (De-ddwyrain)'!X33)</f>
        <v>138980.22148839539</v>
      </c>
      <c r="AF33" s="4">
        <f>IF('Rhaniad y Ddeiliadaeth (Cymru)'!$D$18="Data Cofrestrfa Tir",'Prisiau Tai (De-ddwyrain)'!G33,'Prisiau Tai (De-ddwyrain)'!Y33)</f>
        <v>144400.33456731593</v>
      </c>
      <c r="AG33" s="4">
        <f>IF('Rhaniad y Ddeiliadaeth (Cymru)'!$D$18="Data Cofrestrfa Tir",'Prisiau Tai (De-ddwyrain)'!H33,'Prisiau Tai (De-ddwyrain)'!Z33)</f>
        <v>150390.04945664736</v>
      </c>
    </row>
    <row r="34" spans="2:33" x14ac:dyDescent="0.25">
      <c r="B34" s="20">
        <v>40</v>
      </c>
      <c r="C34" s="56">
        <v>134950</v>
      </c>
      <c r="D34" s="57">
        <f>C34*(1+'Rhaniad y Ddeiliadaeth (De-ddn)'!C$118)</f>
        <v>138783.33373530311</v>
      </c>
      <c r="E34" s="57">
        <f>D34*(1+'Rhaniad y Ddeiliadaeth (De-ddn)'!D$118)</f>
        <v>139092.34242515892</v>
      </c>
      <c r="F34" s="57">
        <f>E34*(1+'Rhaniad y Ddeiliadaeth (De-ddn)'!E$118)</f>
        <v>142086.21886256785</v>
      </c>
      <c r="G34" s="57">
        <f>F34*(1+'Rhaniad y Ddeiliadaeth (De-ddn)'!F$118)</f>
        <v>147627.46325650974</v>
      </c>
      <c r="H34" s="58">
        <f>G34*(1+'Rhaniad y Ddeiliadaeth (De-ddn)'!G$118)</f>
        <v>153751.03919829216</v>
      </c>
      <c r="L34" s="62" t="str">
        <f t="shared" si="0"/>
        <v/>
      </c>
      <c r="M34" s="239"/>
      <c r="N34" s="14">
        <f t="shared" si="3"/>
        <v>1</v>
      </c>
      <c r="T34" s="1">
        <f t="shared" si="1"/>
        <v>40</v>
      </c>
      <c r="U34" s="4" t="str">
        <f t="shared" si="2"/>
        <v/>
      </c>
      <c r="V34" s="4" t="e">
        <f>IF($V$3=$M$3,M34,U34*(1+'Rhaniad y Ddeiliadaeth (Cymru)'!C$118))</f>
        <v>#VALUE!</v>
      </c>
      <c r="W34" s="4" t="e">
        <f>V34*(1+'Rhaniad y Ddeiliadaeth (Cymru)'!D$118)</f>
        <v>#VALUE!</v>
      </c>
      <c r="X34" s="4" t="e">
        <f>W34*(1+'Rhaniad y Ddeiliadaeth (Cymru)'!E$118)</f>
        <v>#VALUE!</v>
      </c>
      <c r="Y34" s="4" t="e">
        <f>X34*(1+'Rhaniad y Ddeiliadaeth (Cymru)'!F$118)</f>
        <v>#VALUE!</v>
      </c>
      <c r="Z34" s="4" t="e">
        <f>Y34*(1+'Rhaniad y Ddeiliadaeth (Cymru)'!G$118)</f>
        <v>#VALUE!</v>
      </c>
      <c r="AB34" s="1">
        <v>40</v>
      </c>
      <c r="AC34" s="4">
        <f>IF('Rhaniad y Ddeiliadaeth (Cymru)'!$D$18="Data Cofrestrfa Tir",'Prisiau Tai (De-ddwyrain)'!D34,'Prisiau Tai (De-ddwyrain)'!V34)</f>
        <v>138783.33373530311</v>
      </c>
      <c r="AD34" s="4">
        <f>IF('Rhaniad y Ddeiliadaeth (Cymru)'!$D$18="Data Cofrestrfa Tir",'Prisiau Tai (De-ddwyrain)'!E34,'Prisiau Tai (De-ddwyrain)'!W34)</f>
        <v>139092.34242515892</v>
      </c>
      <c r="AE34" s="4">
        <f>IF('Rhaniad y Ddeiliadaeth (Cymru)'!$D$18="Data Cofrestrfa Tir",'Prisiau Tai (De-ddwyrain)'!F34,'Prisiau Tai (De-ddwyrain)'!X34)</f>
        <v>142086.21886256785</v>
      </c>
      <c r="AF34" s="4">
        <f>IF('Rhaniad y Ddeiliadaeth (Cymru)'!$D$18="Data Cofrestrfa Tir",'Prisiau Tai (De-ddwyrain)'!G34,'Prisiau Tai (De-ddwyrain)'!Y34)</f>
        <v>147627.46325650974</v>
      </c>
      <c r="AG34" s="4">
        <f>IF('Rhaniad y Ddeiliadaeth (Cymru)'!$D$18="Data Cofrestrfa Tir",'Prisiau Tai (De-ddwyrain)'!H34,'Prisiau Tai (De-ddwyrain)'!Z34)</f>
        <v>153751.03919829216</v>
      </c>
    </row>
    <row r="35" spans="2:33" x14ac:dyDescent="0.25">
      <c r="B35" s="20">
        <v>41</v>
      </c>
      <c r="C35" s="56">
        <v>135000</v>
      </c>
      <c r="D35" s="57">
        <f>C35*(1+'Rhaniad y Ddeiliadaeth (De-ddn)'!C$118)</f>
        <v>138834.75401456776</v>
      </c>
      <c r="E35" s="57">
        <f>D35*(1+'Rhaniad y Ddeiliadaeth (De-ddn)'!D$118)</f>
        <v>139143.87719449023</v>
      </c>
      <c r="F35" s="57">
        <f>E35*(1+'Rhaniad y Ddeiliadaeth (De-ddn)'!E$118)</f>
        <v>142138.86288585892</v>
      </c>
      <c r="G35" s="57">
        <f>F35*(1+'Rhaniad y Ddeiliadaeth (De-ddn)'!F$118)</f>
        <v>147682.16035293674</v>
      </c>
      <c r="H35" s="58">
        <f>G35*(1+'Rhaniad y Ddeiliadaeth (De-ddn)'!G$118)</f>
        <v>153808.00512611662</v>
      </c>
      <c r="L35" s="62" t="str">
        <f t="shared" si="0"/>
        <v/>
      </c>
      <c r="M35" s="239"/>
      <c r="N35" s="14">
        <f t="shared" si="3"/>
        <v>1</v>
      </c>
      <c r="T35" s="1">
        <f t="shared" si="1"/>
        <v>41</v>
      </c>
      <c r="U35" s="4" t="str">
        <f t="shared" si="2"/>
        <v/>
      </c>
      <c r="V35" s="4" t="e">
        <f>IF($V$3=$M$3,M35,U35*(1+'Rhaniad y Ddeiliadaeth (Cymru)'!C$118))</f>
        <v>#VALUE!</v>
      </c>
      <c r="W35" s="4" t="e">
        <f>V35*(1+'Rhaniad y Ddeiliadaeth (Cymru)'!D$118)</f>
        <v>#VALUE!</v>
      </c>
      <c r="X35" s="4" t="e">
        <f>W35*(1+'Rhaniad y Ddeiliadaeth (Cymru)'!E$118)</f>
        <v>#VALUE!</v>
      </c>
      <c r="Y35" s="4" t="e">
        <f>X35*(1+'Rhaniad y Ddeiliadaeth (Cymru)'!F$118)</f>
        <v>#VALUE!</v>
      </c>
      <c r="Z35" s="4" t="e">
        <f>Y35*(1+'Rhaniad y Ddeiliadaeth (Cymru)'!G$118)</f>
        <v>#VALUE!</v>
      </c>
      <c r="AB35" s="1">
        <v>41</v>
      </c>
      <c r="AC35" s="4">
        <f>IF('Rhaniad y Ddeiliadaeth (Cymru)'!$D$18="Data Cofrestrfa Tir",'Prisiau Tai (De-ddwyrain)'!D35,'Prisiau Tai (De-ddwyrain)'!V35)</f>
        <v>138834.75401456776</v>
      </c>
      <c r="AD35" s="4">
        <f>IF('Rhaniad y Ddeiliadaeth (Cymru)'!$D$18="Data Cofrestrfa Tir",'Prisiau Tai (De-ddwyrain)'!E35,'Prisiau Tai (De-ddwyrain)'!W35)</f>
        <v>139143.87719449023</v>
      </c>
      <c r="AE35" s="4">
        <f>IF('Rhaniad y Ddeiliadaeth (Cymru)'!$D$18="Data Cofrestrfa Tir",'Prisiau Tai (De-ddwyrain)'!F35,'Prisiau Tai (De-ddwyrain)'!X35)</f>
        <v>142138.86288585892</v>
      </c>
      <c r="AF35" s="4">
        <f>IF('Rhaniad y Ddeiliadaeth (Cymru)'!$D$18="Data Cofrestrfa Tir",'Prisiau Tai (De-ddwyrain)'!G35,'Prisiau Tai (De-ddwyrain)'!Y35)</f>
        <v>147682.16035293674</v>
      </c>
      <c r="AG35" s="4">
        <f>IF('Rhaniad y Ddeiliadaeth (Cymru)'!$D$18="Data Cofrestrfa Tir",'Prisiau Tai (De-ddwyrain)'!H35,'Prisiau Tai (De-ddwyrain)'!Z35)</f>
        <v>153808.00512611662</v>
      </c>
    </row>
    <row r="36" spans="2:33" x14ac:dyDescent="0.25">
      <c r="B36" s="20">
        <v>42</v>
      </c>
      <c r="C36" s="56">
        <v>137950</v>
      </c>
      <c r="D36" s="57">
        <f>C36*(1+'Rhaniad y Ddeiliadaeth (De-ddn)'!C$118)</f>
        <v>141868.55049118237</v>
      </c>
      <c r="E36" s="57">
        <f>D36*(1+'Rhaniad y Ddeiliadaeth (De-ddn)'!D$118)</f>
        <v>142184.42858503645</v>
      </c>
      <c r="F36" s="57">
        <f>E36*(1+'Rhaniad y Ddeiliadaeth (De-ddn)'!E$118)</f>
        <v>145244.86026003136</v>
      </c>
      <c r="G36" s="57">
        <f>F36*(1+'Rhaniad y Ddeiliadaeth (De-ddn)'!F$118)</f>
        <v>150909.28904213052</v>
      </c>
      <c r="H36" s="58">
        <f>G36*(1+'Rhaniad y Ddeiliadaeth (De-ddn)'!G$118)</f>
        <v>157168.99486776136</v>
      </c>
      <c r="L36" s="62" t="str">
        <f t="shared" si="0"/>
        <v/>
      </c>
      <c r="M36" s="239"/>
      <c r="N36" s="14">
        <f t="shared" si="3"/>
        <v>1</v>
      </c>
      <c r="T36" s="1">
        <f t="shared" si="1"/>
        <v>42</v>
      </c>
      <c r="U36" s="4" t="str">
        <f t="shared" si="2"/>
        <v/>
      </c>
      <c r="V36" s="4" t="e">
        <f>IF($V$3=$M$3,M36,U36*(1+'Rhaniad y Ddeiliadaeth (Cymru)'!C$118))</f>
        <v>#VALUE!</v>
      </c>
      <c r="W36" s="4" t="e">
        <f>V36*(1+'Rhaniad y Ddeiliadaeth (Cymru)'!D$118)</f>
        <v>#VALUE!</v>
      </c>
      <c r="X36" s="4" t="e">
        <f>W36*(1+'Rhaniad y Ddeiliadaeth (Cymru)'!E$118)</f>
        <v>#VALUE!</v>
      </c>
      <c r="Y36" s="4" t="e">
        <f>X36*(1+'Rhaniad y Ddeiliadaeth (Cymru)'!F$118)</f>
        <v>#VALUE!</v>
      </c>
      <c r="Z36" s="4" t="e">
        <f>Y36*(1+'Rhaniad y Ddeiliadaeth (Cymru)'!G$118)</f>
        <v>#VALUE!</v>
      </c>
      <c r="AB36" s="1">
        <v>42</v>
      </c>
      <c r="AC36" s="4">
        <f>IF('Rhaniad y Ddeiliadaeth (Cymru)'!$D$18="Data Cofrestrfa Tir",'Prisiau Tai (De-ddwyrain)'!D36,'Prisiau Tai (De-ddwyrain)'!V36)</f>
        <v>141868.55049118237</v>
      </c>
      <c r="AD36" s="4">
        <f>IF('Rhaniad y Ddeiliadaeth (Cymru)'!$D$18="Data Cofrestrfa Tir",'Prisiau Tai (De-ddwyrain)'!E36,'Prisiau Tai (De-ddwyrain)'!W36)</f>
        <v>142184.42858503645</v>
      </c>
      <c r="AE36" s="4">
        <f>IF('Rhaniad y Ddeiliadaeth (Cymru)'!$D$18="Data Cofrestrfa Tir",'Prisiau Tai (De-ddwyrain)'!F36,'Prisiau Tai (De-ddwyrain)'!X36)</f>
        <v>145244.86026003136</v>
      </c>
      <c r="AF36" s="4">
        <f>IF('Rhaniad y Ddeiliadaeth (Cymru)'!$D$18="Data Cofrestrfa Tir",'Prisiau Tai (De-ddwyrain)'!G36,'Prisiau Tai (De-ddwyrain)'!Y36)</f>
        <v>150909.28904213052</v>
      </c>
      <c r="AG36" s="4">
        <f>IF('Rhaniad y Ddeiliadaeth (Cymru)'!$D$18="Data Cofrestrfa Tir",'Prisiau Tai (De-ddwyrain)'!H36,'Prisiau Tai (De-ddwyrain)'!Z36)</f>
        <v>157168.99486776136</v>
      </c>
    </row>
    <row r="37" spans="2:33" x14ac:dyDescent="0.25">
      <c r="B37" s="20">
        <v>43</v>
      </c>
      <c r="C37" s="56">
        <v>140000</v>
      </c>
      <c r="D37" s="57">
        <f>C37*(1+'Rhaniad y Ddeiliadaeth (De-ddn)'!C$118)</f>
        <v>143976.78194103323</v>
      </c>
      <c r="E37" s="57">
        <f>D37*(1+'Rhaniad y Ddeiliadaeth (De-ddn)'!D$118)</f>
        <v>144297.35412761947</v>
      </c>
      <c r="F37" s="57">
        <f>E37*(1+'Rhaniad y Ddeiliadaeth (De-ddn)'!E$118)</f>
        <v>147403.26521496481</v>
      </c>
      <c r="G37" s="57">
        <f>F37*(1+'Rhaniad y Ddeiliadaeth (De-ddn)'!F$118)</f>
        <v>153151.86999563812</v>
      </c>
      <c r="H37" s="58">
        <f>G37*(1+'Rhaniad y Ddeiliadaeth (De-ddn)'!G$118)</f>
        <v>159504.5979085654</v>
      </c>
      <c r="L37" s="62" t="str">
        <f t="shared" si="0"/>
        <v/>
      </c>
      <c r="M37" s="239"/>
      <c r="N37" s="14">
        <f t="shared" si="3"/>
        <v>1</v>
      </c>
      <c r="T37" s="1">
        <f t="shared" si="1"/>
        <v>43</v>
      </c>
      <c r="U37" s="4" t="str">
        <f t="shared" si="2"/>
        <v/>
      </c>
      <c r="V37" s="4" t="e">
        <f>IF($V$3=$M$3,M37,U37*(1+'Rhaniad y Ddeiliadaeth (Cymru)'!C$118))</f>
        <v>#VALUE!</v>
      </c>
      <c r="W37" s="4" t="e">
        <f>V37*(1+'Rhaniad y Ddeiliadaeth (Cymru)'!D$118)</f>
        <v>#VALUE!</v>
      </c>
      <c r="X37" s="4" t="e">
        <f>W37*(1+'Rhaniad y Ddeiliadaeth (Cymru)'!E$118)</f>
        <v>#VALUE!</v>
      </c>
      <c r="Y37" s="4" t="e">
        <f>X37*(1+'Rhaniad y Ddeiliadaeth (Cymru)'!F$118)</f>
        <v>#VALUE!</v>
      </c>
      <c r="Z37" s="4" t="e">
        <f>Y37*(1+'Rhaniad y Ddeiliadaeth (Cymru)'!G$118)</f>
        <v>#VALUE!</v>
      </c>
      <c r="AB37" s="1">
        <v>43</v>
      </c>
      <c r="AC37" s="4">
        <f>IF('Rhaniad y Ddeiliadaeth (Cymru)'!$D$18="Data Cofrestrfa Tir",'Prisiau Tai (De-ddwyrain)'!D37,'Prisiau Tai (De-ddwyrain)'!V37)</f>
        <v>143976.78194103323</v>
      </c>
      <c r="AD37" s="4">
        <f>IF('Rhaniad y Ddeiliadaeth (Cymru)'!$D$18="Data Cofrestrfa Tir",'Prisiau Tai (De-ddwyrain)'!E37,'Prisiau Tai (De-ddwyrain)'!W37)</f>
        <v>144297.35412761947</v>
      </c>
      <c r="AE37" s="4">
        <f>IF('Rhaniad y Ddeiliadaeth (Cymru)'!$D$18="Data Cofrestrfa Tir",'Prisiau Tai (De-ddwyrain)'!F37,'Prisiau Tai (De-ddwyrain)'!X37)</f>
        <v>147403.26521496481</v>
      </c>
      <c r="AF37" s="4">
        <f>IF('Rhaniad y Ddeiliadaeth (Cymru)'!$D$18="Data Cofrestrfa Tir",'Prisiau Tai (De-ddwyrain)'!G37,'Prisiau Tai (De-ddwyrain)'!Y37)</f>
        <v>153151.86999563812</v>
      </c>
      <c r="AG37" s="4">
        <f>IF('Rhaniad y Ddeiliadaeth (Cymru)'!$D$18="Data Cofrestrfa Tir",'Prisiau Tai (De-ddwyrain)'!H37,'Prisiau Tai (De-ddwyrain)'!Z37)</f>
        <v>159504.5979085654</v>
      </c>
    </row>
    <row r="38" spans="2:33" x14ac:dyDescent="0.25">
      <c r="B38" s="20">
        <v>44</v>
      </c>
      <c r="C38" s="56">
        <v>141000</v>
      </c>
      <c r="D38" s="57">
        <f>C38*(1+'Rhaniad y Ddeiliadaeth (De-ddn)'!C$118)</f>
        <v>145005.18752632631</v>
      </c>
      <c r="E38" s="57">
        <f>D38*(1+'Rhaniad y Ddeiliadaeth (De-ddn)'!D$118)</f>
        <v>145328.04951424533</v>
      </c>
      <c r="F38" s="57">
        <f>E38*(1+'Rhaniad y Ddeiliadaeth (De-ddn)'!E$118)</f>
        <v>148456.14568078596</v>
      </c>
      <c r="G38" s="57">
        <f>F38*(1+'Rhaniad y Ddeiliadaeth (De-ddn)'!F$118)</f>
        <v>154245.81192417836</v>
      </c>
      <c r="H38" s="58">
        <f>G38*(1+'Rhaniad y Ddeiliadaeth (De-ddn)'!G$118)</f>
        <v>160643.91646505511</v>
      </c>
      <c r="L38" s="62" t="str">
        <f t="shared" si="0"/>
        <v/>
      </c>
      <c r="M38" s="239"/>
      <c r="N38" s="14">
        <f t="shared" si="3"/>
        <v>1</v>
      </c>
      <c r="T38" s="1">
        <f t="shared" si="1"/>
        <v>44</v>
      </c>
      <c r="U38" s="4" t="str">
        <f t="shared" si="2"/>
        <v/>
      </c>
      <c r="V38" s="4" t="e">
        <f>IF($V$3=$M$3,M38,U38*(1+'Rhaniad y Ddeiliadaeth (Cymru)'!C$118))</f>
        <v>#VALUE!</v>
      </c>
      <c r="W38" s="4" t="e">
        <f>V38*(1+'Rhaniad y Ddeiliadaeth (Cymru)'!D$118)</f>
        <v>#VALUE!</v>
      </c>
      <c r="X38" s="4" t="e">
        <f>W38*(1+'Rhaniad y Ddeiliadaeth (Cymru)'!E$118)</f>
        <v>#VALUE!</v>
      </c>
      <c r="Y38" s="4" t="e">
        <f>X38*(1+'Rhaniad y Ddeiliadaeth (Cymru)'!F$118)</f>
        <v>#VALUE!</v>
      </c>
      <c r="Z38" s="4" t="e">
        <f>Y38*(1+'Rhaniad y Ddeiliadaeth (Cymru)'!G$118)</f>
        <v>#VALUE!</v>
      </c>
      <c r="AB38" s="1">
        <v>44</v>
      </c>
      <c r="AC38" s="4">
        <f>IF('Rhaniad y Ddeiliadaeth (Cymru)'!$D$18="Data Cofrestrfa Tir",'Prisiau Tai (De-ddwyrain)'!D38,'Prisiau Tai (De-ddwyrain)'!V38)</f>
        <v>145005.18752632631</v>
      </c>
      <c r="AD38" s="4">
        <f>IF('Rhaniad y Ddeiliadaeth (Cymru)'!$D$18="Data Cofrestrfa Tir",'Prisiau Tai (De-ddwyrain)'!E38,'Prisiau Tai (De-ddwyrain)'!W38)</f>
        <v>145328.04951424533</v>
      </c>
      <c r="AE38" s="4">
        <f>IF('Rhaniad y Ddeiliadaeth (Cymru)'!$D$18="Data Cofrestrfa Tir",'Prisiau Tai (De-ddwyrain)'!F38,'Prisiau Tai (De-ddwyrain)'!X38)</f>
        <v>148456.14568078596</v>
      </c>
      <c r="AF38" s="4">
        <f>IF('Rhaniad y Ddeiliadaeth (Cymru)'!$D$18="Data Cofrestrfa Tir",'Prisiau Tai (De-ddwyrain)'!G38,'Prisiau Tai (De-ddwyrain)'!Y38)</f>
        <v>154245.81192417836</v>
      </c>
      <c r="AG38" s="4">
        <f>IF('Rhaniad y Ddeiliadaeth (Cymru)'!$D$18="Data Cofrestrfa Tir",'Prisiau Tai (De-ddwyrain)'!H38,'Prisiau Tai (De-ddwyrain)'!Z38)</f>
        <v>160643.91646505511</v>
      </c>
    </row>
    <row r="39" spans="2:33" x14ac:dyDescent="0.25">
      <c r="B39" s="20">
        <v>45</v>
      </c>
      <c r="C39" s="56">
        <v>144000</v>
      </c>
      <c r="D39" s="57">
        <f>C39*(1+'Rhaniad y Ddeiliadaeth (De-ddn)'!C$118)</f>
        <v>148090.40428220559</v>
      </c>
      <c r="E39" s="57">
        <f>D39*(1+'Rhaniad y Ddeiliadaeth (De-ddn)'!D$118)</f>
        <v>148420.13567412287</v>
      </c>
      <c r="F39" s="57">
        <f>E39*(1+'Rhaniad y Ddeiliadaeth (De-ddn)'!E$118)</f>
        <v>151614.78707824947</v>
      </c>
      <c r="G39" s="57">
        <f>F39*(1+'Rhaniad y Ddeiliadaeth (De-ddn)'!F$118)</f>
        <v>157527.63770979916</v>
      </c>
      <c r="H39" s="58">
        <f>G39*(1+'Rhaniad y Ddeiliadaeth (De-ddn)'!G$118)</f>
        <v>164061.87213452437</v>
      </c>
      <c r="L39" s="62" t="str">
        <f t="shared" si="0"/>
        <v/>
      </c>
      <c r="M39" s="239"/>
      <c r="N39" s="14">
        <f t="shared" si="3"/>
        <v>1</v>
      </c>
      <c r="T39" s="1">
        <f t="shared" si="1"/>
        <v>45</v>
      </c>
      <c r="U39" s="4" t="str">
        <f t="shared" si="2"/>
        <v/>
      </c>
      <c r="V39" s="4" t="e">
        <f>IF($V$3=$M$3,M39,U39*(1+'Rhaniad y Ddeiliadaeth (Cymru)'!C$118))</f>
        <v>#VALUE!</v>
      </c>
      <c r="W39" s="4" t="e">
        <f>V39*(1+'Rhaniad y Ddeiliadaeth (Cymru)'!D$118)</f>
        <v>#VALUE!</v>
      </c>
      <c r="X39" s="4" t="e">
        <f>W39*(1+'Rhaniad y Ddeiliadaeth (Cymru)'!E$118)</f>
        <v>#VALUE!</v>
      </c>
      <c r="Y39" s="4" t="e">
        <f>X39*(1+'Rhaniad y Ddeiliadaeth (Cymru)'!F$118)</f>
        <v>#VALUE!</v>
      </c>
      <c r="Z39" s="4" t="e">
        <f>Y39*(1+'Rhaniad y Ddeiliadaeth (Cymru)'!G$118)</f>
        <v>#VALUE!</v>
      </c>
      <c r="AB39" s="1">
        <v>45</v>
      </c>
      <c r="AC39" s="4">
        <f>IF('Rhaniad y Ddeiliadaeth (Cymru)'!$D$18="Data Cofrestrfa Tir",'Prisiau Tai (De-ddwyrain)'!D39,'Prisiau Tai (De-ddwyrain)'!V39)</f>
        <v>148090.40428220559</v>
      </c>
      <c r="AD39" s="4">
        <f>IF('Rhaniad y Ddeiliadaeth (Cymru)'!$D$18="Data Cofrestrfa Tir",'Prisiau Tai (De-ddwyrain)'!E39,'Prisiau Tai (De-ddwyrain)'!W39)</f>
        <v>148420.13567412287</v>
      </c>
      <c r="AE39" s="4">
        <f>IF('Rhaniad y Ddeiliadaeth (Cymru)'!$D$18="Data Cofrestrfa Tir",'Prisiau Tai (De-ddwyrain)'!F39,'Prisiau Tai (De-ddwyrain)'!X39)</f>
        <v>151614.78707824947</v>
      </c>
      <c r="AF39" s="4">
        <f>IF('Rhaniad y Ddeiliadaeth (Cymru)'!$D$18="Data Cofrestrfa Tir",'Prisiau Tai (De-ddwyrain)'!G39,'Prisiau Tai (De-ddwyrain)'!Y39)</f>
        <v>157527.63770979916</v>
      </c>
      <c r="AG39" s="4">
        <f>IF('Rhaniad y Ddeiliadaeth (Cymru)'!$D$18="Data Cofrestrfa Tir",'Prisiau Tai (De-ddwyrain)'!H39,'Prisiau Tai (De-ddwyrain)'!Z39)</f>
        <v>164061.87213452437</v>
      </c>
    </row>
    <row r="40" spans="2:33" x14ac:dyDescent="0.25">
      <c r="B40" s="20">
        <v>46</v>
      </c>
      <c r="C40" s="56">
        <v>145000</v>
      </c>
      <c r="D40" s="57">
        <f>C40*(1+'Rhaniad y Ddeiliadaeth (De-ddn)'!C$118)</f>
        <v>149118.8098674987</v>
      </c>
      <c r="E40" s="57">
        <f>D40*(1+'Rhaniad y Ddeiliadaeth (De-ddn)'!D$118)</f>
        <v>149450.83106074875</v>
      </c>
      <c r="F40" s="57">
        <f>E40*(1+'Rhaniad y Ddeiliadaeth (De-ddn)'!E$118)</f>
        <v>152667.66754407069</v>
      </c>
      <c r="G40" s="57">
        <f>F40*(1+'Rhaniad y Ddeiliadaeth (De-ddn)'!F$118)</f>
        <v>158621.57963833946</v>
      </c>
      <c r="H40" s="58">
        <f>G40*(1+'Rhaniad y Ddeiliadaeth (De-ddn)'!G$118)</f>
        <v>165201.19069101414</v>
      </c>
      <c r="L40" s="62" t="str">
        <f t="shared" si="0"/>
        <v/>
      </c>
      <c r="M40" s="239"/>
      <c r="N40" s="14">
        <f t="shared" si="3"/>
        <v>1</v>
      </c>
      <c r="T40" s="1">
        <f t="shared" si="1"/>
        <v>46</v>
      </c>
      <c r="U40" s="4" t="str">
        <f t="shared" si="2"/>
        <v/>
      </c>
      <c r="V40" s="4" t="e">
        <f>IF($V$3=$M$3,M40,U40*(1+'Rhaniad y Ddeiliadaeth (Cymru)'!C$118))</f>
        <v>#VALUE!</v>
      </c>
      <c r="W40" s="4" t="e">
        <f>V40*(1+'Rhaniad y Ddeiliadaeth (Cymru)'!D$118)</f>
        <v>#VALUE!</v>
      </c>
      <c r="X40" s="4" t="e">
        <f>W40*(1+'Rhaniad y Ddeiliadaeth (Cymru)'!E$118)</f>
        <v>#VALUE!</v>
      </c>
      <c r="Y40" s="4" t="e">
        <f>X40*(1+'Rhaniad y Ddeiliadaeth (Cymru)'!F$118)</f>
        <v>#VALUE!</v>
      </c>
      <c r="Z40" s="4" t="e">
        <f>Y40*(1+'Rhaniad y Ddeiliadaeth (Cymru)'!G$118)</f>
        <v>#VALUE!</v>
      </c>
      <c r="AB40" s="1">
        <v>46</v>
      </c>
      <c r="AC40" s="4">
        <f>IF('Rhaniad y Ddeiliadaeth (Cymru)'!$D$18="Data Cofrestrfa Tir",'Prisiau Tai (De-ddwyrain)'!D40,'Prisiau Tai (De-ddwyrain)'!V40)</f>
        <v>149118.8098674987</v>
      </c>
      <c r="AD40" s="4">
        <f>IF('Rhaniad y Ddeiliadaeth (Cymru)'!$D$18="Data Cofrestrfa Tir",'Prisiau Tai (De-ddwyrain)'!E40,'Prisiau Tai (De-ddwyrain)'!W40)</f>
        <v>149450.83106074875</v>
      </c>
      <c r="AE40" s="4">
        <f>IF('Rhaniad y Ddeiliadaeth (Cymru)'!$D$18="Data Cofrestrfa Tir",'Prisiau Tai (De-ddwyrain)'!F40,'Prisiau Tai (De-ddwyrain)'!X40)</f>
        <v>152667.66754407069</v>
      </c>
      <c r="AF40" s="4">
        <f>IF('Rhaniad y Ddeiliadaeth (Cymru)'!$D$18="Data Cofrestrfa Tir",'Prisiau Tai (De-ddwyrain)'!G40,'Prisiau Tai (De-ddwyrain)'!Y40)</f>
        <v>158621.57963833946</v>
      </c>
      <c r="AG40" s="4">
        <f>IF('Rhaniad y Ddeiliadaeth (Cymru)'!$D$18="Data Cofrestrfa Tir",'Prisiau Tai (De-ddwyrain)'!H40,'Prisiau Tai (De-ddwyrain)'!Z40)</f>
        <v>165201.19069101414</v>
      </c>
    </row>
    <row r="41" spans="2:33" x14ac:dyDescent="0.25">
      <c r="B41" s="20">
        <v>47</v>
      </c>
      <c r="C41" s="56">
        <v>148000</v>
      </c>
      <c r="D41" s="57">
        <f>C41*(1+'Rhaniad y Ddeiliadaeth (De-ddn)'!C$118)</f>
        <v>152204.02662337798</v>
      </c>
      <c r="E41" s="57">
        <f>D41*(1+'Rhaniad y Ddeiliadaeth (De-ddn)'!D$118)</f>
        <v>152542.91722062632</v>
      </c>
      <c r="F41" s="57">
        <f>E41*(1+'Rhaniad y Ddeiliadaeth (De-ddn)'!E$118)</f>
        <v>155826.30894153423</v>
      </c>
      <c r="G41" s="57">
        <f>F41*(1+'Rhaniad y Ddeiliadaeth (De-ddn)'!F$118)</f>
        <v>161903.4054239603</v>
      </c>
      <c r="H41" s="58">
        <f>G41*(1+'Rhaniad y Ddeiliadaeth (De-ddn)'!G$118)</f>
        <v>168619.14636048343</v>
      </c>
      <c r="L41" s="62" t="str">
        <f t="shared" si="0"/>
        <v/>
      </c>
      <c r="M41" s="239"/>
      <c r="N41" s="14">
        <f t="shared" si="3"/>
        <v>1</v>
      </c>
      <c r="T41" s="1">
        <f t="shared" si="1"/>
        <v>47</v>
      </c>
      <c r="U41" s="4" t="str">
        <f t="shared" si="2"/>
        <v/>
      </c>
      <c r="V41" s="4" t="e">
        <f>IF($V$3=$M$3,M41,U41*(1+'Rhaniad y Ddeiliadaeth (Cymru)'!C$118))</f>
        <v>#VALUE!</v>
      </c>
      <c r="W41" s="4" t="e">
        <f>V41*(1+'Rhaniad y Ddeiliadaeth (Cymru)'!D$118)</f>
        <v>#VALUE!</v>
      </c>
      <c r="X41" s="4" t="e">
        <f>W41*(1+'Rhaniad y Ddeiliadaeth (Cymru)'!E$118)</f>
        <v>#VALUE!</v>
      </c>
      <c r="Y41" s="4" t="e">
        <f>X41*(1+'Rhaniad y Ddeiliadaeth (Cymru)'!F$118)</f>
        <v>#VALUE!</v>
      </c>
      <c r="Z41" s="4" t="e">
        <f>Y41*(1+'Rhaniad y Ddeiliadaeth (Cymru)'!G$118)</f>
        <v>#VALUE!</v>
      </c>
      <c r="AB41" s="1">
        <v>47</v>
      </c>
      <c r="AC41" s="4">
        <f>IF('Rhaniad y Ddeiliadaeth (Cymru)'!$D$18="Data Cofrestrfa Tir",'Prisiau Tai (De-ddwyrain)'!D41,'Prisiau Tai (De-ddwyrain)'!V41)</f>
        <v>152204.02662337798</v>
      </c>
      <c r="AD41" s="4">
        <f>IF('Rhaniad y Ddeiliadaeth (Cymru)'!$D$18="Data Cofrestrfa Tir",'Prisiau Tai (De-ddwyrain)'!E41,'Prisiau Tai (De-ddwyrain)'!W41)</f>
        <v>152542.91722062632</v>
      </c>
      <c r="AE41" s="4">
        <f>IF('Rhaniad y Ddeiliadaeth (Cymru)'!$D$18="Data Cofrestrfa Tir",'Prisiau Tai (De-ddwyrain)'!F41,'Prisiau Tai (De-ddwyrain)'!X41)</f>
        <v>155826.30894153423</v>
      </c>
      <c r="AF41" s="4">
        <f>IF('Rhaniad y Ddeiliadaeth (Cymru)'!$D$18="Data Cofrestrfa Tir",'Prisiau Tai (De-ddwyrain)'!G41,'Prisiau Tai (De-ddwyrain)'!Y41)</f>
        <v>161903.4054239603</v>
      </c>
      <c r="AG41" s="4">
        <f>IF('Rhaniad y Ddeiliadaeth (Cymru)'!$D$18="Data Cofrestrfa Tir",'Prisiau Tai (De-ddwyrain)'!H41,'Prisiau Tai (De-ddwyrain)'!Z41)</f>
        <v>168619.14636048343</v>
      </c>
    </row>
    <row r="42" spans="2:33" x14ac:dyDescent="0.25">
      <c r="B42" s="20">
        <v>48</v>
      </c>
      <c r="C42" s="56">
        <v>150000</v>
      </c>
      <c r="D42" s="57">
        <f>C42*(1+'Rhaniad y Ddeiliadaeth (De-ddn)'!C$118)</f>
        <v>154260.83779396417</v>
      </c>
      <c r="E42" s="57">
        <f>D42*(1+'Rhaniad y Ddeiliadaeth (De-ddn)'!D$118)</f>
        <v>154604.307993878</v>
      </c>
      <c r="F42" s="57">
        <f>E42*(1+'Rhaniad y Ddeiliadaeth (De-ddn)'!E$118)</f>
        <v>157932.06987317657</v>
      </c>
      <c r="G42" s="57">
        <f>F42*(1+'Rhaniad y Ddeiliadaeth (De-ddn)'!F$118)</f>
        <v>164091.28928104084</v>
      </c>
      <c r="H42" s="58">
        <f>G42*(1+'Rhaniad y Ddeiliadaeth (De-ddn)'!G$118)</f>
        <v>170897.78347346291</v>
      </c>
      <c r="L42" s="62" t="str">
        <f t="shared" si="0"/>
        <v/>
      </c>
      <c r="M42" s="239"/>
      <c r="N42" s="14">
        <f t="shared" si="3"/>
        <v>1</v>
      </c>
      <c r="T42" s="1">
        <f t="shared" si="1"/>
        <v>48</v>
      </c>
      <c r="U42" s="4" t="str">
        <f t="shared" si="2"/>
        <v/>
      </c>
      <c r="V42" s="4" t="e">
        <f>IF($V$3=$M$3,M42,U42*(1+'Rhaniad y Ddeiliadaeth (Cymru)'!C$118))</f>
        <v>#VALUE!</v>
      </c>
      <c r="W42" s="4" t="e">
        <f>V42*(1+'Rhaniad y Ddeiliadaeth (Cymru)'!D$118)</f>
        <v>#VALUE!</v>
      </c>
      <c r="X42" s="4" t="e">
        <f>W42*(1+'Rhaniad y Ddeiliadaeth (Cymru)'!E$118)</f>
        <v>#VALUE!</v>
      </c>
      <c r="Y42" s="4" t="e">
        <f>X42*(1+'Rhaniad y Ddeiliadaeth (Cymru)'!F$118)</f>
        <v>#VALUE!</v>
      </c>
      <c r="Z42" s="4" t="e">
        <f>Y42*(1+'Rhaniad y Ddeiliadaeth (Cymru)'!G$118)</f>
        <v>#VALUE!</v>
      </c>
      <c r="AB42" s="1">
        <v>48</v>
      </c>
      <c r="AC42" s="4">
        <f>IF('Rhaniad y Ddeiliadaeth (Cymru)'!$D$18="Data Cofrestrfa Tir",'Prisiau Tai (De-ddwyrain)'!D42,'Prisiau Tai (De-ddwyrain)'!V42)</f>
        <v>154260.83779396417</v>
      </c>
      <c r="AD42" s="4">
        <f>IF('Rhaniad y Ddeiliadaeth (Cymru)'!$D$18="Data Cofrestrfa Tir",'Prisiau Tai (De-ddwyrain)'!E42,'Prisiau Tai (De-ddwyrain)'!W42)</f>
        <v>154604.307993878</v>
      </c>
      <c r="AE42" s="4">
        <f>IF('Rhaniad y Ddeiliadaeth (Cymru)'!$D$18="Data Cofrestrfa Tir",'Prisiau Tai (De-ddwyrain)'!F42,'Prisiau Tai (De-ddwyrain)'!X42)</f>
        <v>157932.06987317657</v>
      </c>
      <c r="AF42" s="4">
        <f>IF('Rhaniad y Ddeiliadaeth (Cymru)'!$D$18="Data Cofrestrfa Tir",'Prisiau Tai (De-ddwyrain)'!G42,'Prisiau Tai (De-ddwyrain)'!Y42)</f>
        <v>164091.28928104084</v>
      </c>
      <c r="AG42" s="4">
        <f>IF('Rhaniad y Ddeiliadaeth (Cymru)'!$D$18="Data Cofrestrfa Tir",'Prisiau Tai (De-ddwyrain)'!H42,'Prisiau Tai (De-ddwyrain)'!Z42)</f>
        <v>170897.78347346291</v>
      </c>
    </row>
    <row r="43" spans="2:33" x14ac:dyDescent="0.25">
      <c r="B43" s="20">
        <v>49</v>
      </c>
      <c r="C43" s="56">
        <v>152054.00000000009</v>
      </c>
      <c r="D43" s="57">
        <f>C43*(1+'Rhaniad y Ddeiliadaeth (De-ddn)'!C$118)</f>
        <v>156373.18286615628</v>
      </c>
      <c r="E43" s="57">
        <f>D43*(1+'Rhaniad y Ddeiliadaeth (De-ddn)'!D$118)</f>
        <v>156721.3563180076</v>
      </c>
      <c r="F43" s="57">
        <f>E43*(1+'Rhaniad y Ddeiliadaeth (De-ddn)'!E$118)</f>
        <v>160094.68634997337</v>
      </c>
      <c r="G43" s="57">
        <f>F43*(1+'Rhaniad y Ddeiliadaeth (De-ddn)'!F$118)</f>
        <v>166338.24600226266</v>
      </c>
      <c r="H43" s="58">
        <f>G43*(1+'Rhaniad y Ddeiliadaeth (De-ddn)'!G$118)</f>
        <v>173237.94378849299</v>
      </c>
      <c r="L43" s="62" t="str">
        <f t="shared" si="0"/>
        <v/>
      </c>
      <c r="M43" s="239"/>
      <c r="N43" s="14">
        <f t="shared" si="3"/>
        <v>1</v>
      </c>
      <c r="T43" s="1">
        <f t="shared" si="1"/>
        <v>49</v>
      </c>
      <c r="U43" s="4" t="str">
        <f t="shared" si="2"/>
        <v/>
      </c>
      <c r="V43" s="4" t="e">
        <f>IF($V$3=$M$3,M43,U43*(1+'Rhaniad y Ddeiliadaeth (Cymru)'!C$118))</f>
        <v>#VALUE!</v>
      </c>
      <c r="W43" s="4" t="e">
        <f>V43*(1+'Rhaniad y Ddeiliadaeth (Cymru)'!D$118)</f>
        <v>#VALUE!</v>
      </c>
      <c r="X43" s="4" t="e">
        <f>W43*(1+'Rhaniad y Ddeiliadaeth (Cymru)'!E$118)</f>
        <v>#VALUE!</v>
      </c>
      <c r="Y43" s="4" t="e">
        <f>X43*(1+'Rhaniad y Ddeiliadaeth (Cymru)'!F$118)</f>
        <v>#VALUE!</v>
      </c>
      <c r="Z43" s="4" t="e">
        <f>Y43*(1+'Rhaniad y Ddeiliadaeth (Cymru)'!G$118)</f>
        <v>#VALUE!</v>
      </c>
      <c r="AB43" s="1">
        <v>49</v>
      </c>
      <c r="AC43" s="4">
        <f>IF('Rhaniad y Ddeiliadaeth (Cymru)'!$D$18="Data Cofrestrfa Tir",'Prisiau Tai (De-ddwyrain)'!D43,'Prisiau Tai (De-ddwyrain)'!V43)</f>
        <v>156373.18286615628</v>
      </c>
      <c r="AD43" s="4">
        <f>IF('Rhaniad y Ddeiliadaeth (Cymru)'!$D$18="Data Cofrestrfa Tir",'Prisiau Tai (De-ddwyrain)'!E43,'Prisiau Tai (De-ddwyrain)'!W43)</f>
        <v>156721.3563180076</v>
      </c>
      <c r="AE43" s="4">
        <f>IF('Rhaniad y Ddeiliadaeth (Cymru)'!$D$18="Data Cofrestrfa Tir",'Prisiau Tai (De-ddwyrain)'!F43,'Prisiau Tai (De-ddwyrain)'!X43)</f>
        <v>160094.68634997337</v>
      </c>
      <c r="AF43" s="4">
        <f>IF('Rhaniad y Ddeiliadaeth (Cymru)'!$D$18="Data Cofrestrfa Tir",'Prisiau Tai (De-ddwyrain)'!G43,'Prisiau Tai (De-ddwyrain)'!Y43)</f>
        <v>166338.24600226266</v>
      </c>
      <c r="AG43" s="4">
        <f>IF('Rhaniad y Ddeiliadaeth (Cymru)'!$D$18="Data Cofrestrfa Tir",'Prisiau Tai (De-ddwyrain)'!H43,'Prisiau Tai (De-ddwyrain)'!Z43)</f>
        <v>173237.94378849299</v>
      </c>
    </row>
    <row r="44" spans="2:33" x14ac:dyDescent="0.25">
      <c r="B44" s="20">
        <v>50</v>
      </c>
      <c r="C44" s="56">
        <v>155000</v>
      </c>
      <c r="D44" s="57">
        <f>C44*(1+'Rhaniad y Ddeiliadaeth (De-ddn)'!C$118)</f>
        <v>159402.86572042963</v>
      </c>
      <c r="E44" s="57">
        <f>D44*(1+'Rhaniad y Ddeiliadaeth (De-ddn)'!D$118)</f>
        <v>159757.78492700728</v>
      </c>
      <c r="F44" s="57">
        <f>E44*(1+'Rhaniad y Ddeiliadaeth (De-ddn)'!E$118)</f>
        <v>163196.47220228246</v>
      </c>
      <c r="G44" s="57">
        <f>F44*(1+'Rhaniad y Ddeiliadaeth (De-ddn)'!F$118)</f>
        <v>169560.99892374218</v>
      </c>
      <c r="H44" s="58">
        <f>G44*(1+'Rhaniad y Ddeiliadaeth (De-ddn)'!G$118)</f>
        <v>176594.37625591166</v>
      </c>
      <c r="L44" s="62" t="str">
        <f t="shared" si="0"/>
        <v/>
      </c>
      <c r="M44" s="239"/>
      <c r="N44" s="14">
        <f t="shared" si="3"/>
        <v>1</v>
      </c>
      <c r="T44" s="1">
        <f t="shared" si="1"/>
        <v>50</v>
      </c>
      <c r="U44" s="4" t="str">
        <f t="shared" si="2"/>
        <v/>
      </c>
      <c r="V44" s="4" t="e">
        <f>IF($V$3=$M$3,M44,U44*(1+'Rhaniad y Ddeiliadaeth (Cymru)'!C$118))</f>
        <v>#VALUE!</v>
      </c>
      <c r="W44" s="4" t="e">
        <f>V44*(1+'Rhaniad y Ddeiliadaeth (Cymru)'!D$118)</f>
        <v>#VALUE!</v>
      </c>
      <c r="X44" s="4" t="e">
        <f>W44*(1+'Rhaniad y Ddeiliadaeth (Cymru)'!E$118)</f>
        <v>#VALUE!</v>
      </c>
      <c r="Y44" s="4" t="e">
        <f>X44*(1+'Rhaniad y Ddeiliadaeth (Cymru)'!F$118)</f>
        <v>#VALUE!</v>
      </c>
      <c r="Z44" s="4" t="e">
        <f>Y44*(1+'Rhaniad y Ddeiliadaeth (Cymru)'!G$118)</f>
        <v>#VALUE!</v>
      </c>
      <c r="AB44" s="1">
        <v>50</v>
      </c>
      <c r="AC44" s="4">
        <f>IF('Rhaniad y Ddeiliadaeth (Cymru)'!$D$18="Data Cofrestrfa Tir",'Prisiau Tai (De-ddwyrain)'!D44,'Prisiau Tai (De-ddwyrain)'!V44)</f>
        <v>159402.86572042963</v>
      </c>
      <c r="AD44" s="4">
        <f>IF('Rhaniad y Ddeiliadaeth (Cymru)'!$D$18="Data Cofrestrfa Tir",'Prisiau Tai (De-ddwyrain)'!E44,'Prisiau Tai (De-ddwyrain)'!W44)</f>
        <v>159757.78492700728</v>
      </c>
      <c r="AE44" s="4">
        <f>IF('Rhaniad y Ddeiliadaeth (Cymru)'!$D$18="Data Cofrestrfa Tir",'Prisiau Tai (De-ddwyrain)'!F44,'Prisiau Tai (De-ddwyrain)'!X44)</f>
        <v>163196.47220228246</v>
      </c>
      <c r="AF44" s="4">
        <f>IF('Rhaniad y Ddeiliadaeth (Cymru)'!$D$18="Data Cofrestrfa Tir",'Prisiau Tai (De-ddwyrain)'!G44,'Prisiau Tai (De-ddwyrain)'!Y44)</f>
        <v>169560.99892374218</v>
      </c>
      <c r="AG44" s="4">
        <f>IF('Rhaniad y Ddeiliadaeth (Cymru)'!$D$18="Data Cofrestrfa Tir",'Prisiau Tai (De-ddwyrain)'!H44,'Prisiau Tai (De-ddwyrain)'!Z44)</f>
        <v>176594.37625591166</v>
      </c>
    </row>
    <row r="45" spans="2:33" x14ac:dyDescent="0.25">
      <c r="B45" s="20">
        <v>51</v>
      </c>
      <c r="C45" s="56">
        <v>158000</v>
      </c>
      <c r="D45" s="57">
        <f>C45*(1+'Rhaniad y Ddeiliadaeth (De-ddn)'!C$118)</f>
        <v>162488.08247630892</v>
      </c>
      <c r="E45" s="57">
        <f>D45*(1+'Rhaniad y Ddeiliadaeth (De-ddn)'!D$118)</f>
        <v>162849.87108688484</v>
      </c>
      <c r="F45" s="57">
        <f>E45*(1+'Rhaniad y Ddeiliadaeth (De-ddn)'!E$118)</f>
        <v>166355.11359974599</v>
      </c>
      <c r="G45" s="57">
        <f>F45*(1+'Rhaniad y Ddeiliadaeth (De-ddn)'!F$118)</f>
        <v>172842.82470936302</v>
      </c>
      <c r="H45" s="58">
        <f>G45*(1+'Rhaniad y Ddeiliadaeth (De-ddn)'!G$118)</f>
        <v>180012.33192538095</v>
      </c>
      <c r="L45" s="62" t="str">
        <f t="shared" si="0"/>
        <v/>
      </c>
      <c r="M45" s="239"/>
      <c r="N45" s="14">
        <f t="shared" si="3"/>
        <v>1</v>
      </c>
      <c r="T45" s="1">
        <f t="shared" si="1"/>
        <v>51</v>
      </c>
      <c r="U45" s="4" t="str">
        <f t="shared" si="2"/>
        <v/>
      </c>
      <c r="V45" s="4" t="e">
        <f>IF($V$3=$M$3,M45,U45*(1+'Rhaniad y Ddeiliadaeth (Cymru)'!C$118))</f>
        <v>#VALUE!</v>
      </c>
      <c r="W45" s="4" t="e">
        <f>V45*(1+'Rhaniad y Ddeiliadaeth (Cymru)'!D$118)</f>
        <v>#VALUE!</v>
      </c>
      <c r="X45" s="4" t="e">
        <f>W45*(1+'Rhaniad y Ddeiliadaeth (Cymru)'!E$118)</f>
        <v>#VALUE!</v>
      </c>
      <c r="Y45" s="4" t="e">
        <f>X45*(1+'Rhaniad y Ddeiliadaeth (Cymru)'!F$118)</f>
        <v>#VALUE!</v>
      </c>
      <c r="Z45" s="4" t="e">
        <f>Y45*(1+'Rhaniad y Ddeiliadaeth (Cymru)'!G$118)</f>
        <v>#VALUE!</v>
      </c>
      <c r="AB45" s="1">
        <v>51</v>
      </c>
      <c r="AC45" s="4">
        <f>IF('Rhaniad y Ddeiliadaeth (Cymru)'!$D$18="Data Cofrestrfa Tir",'Prisiau Tai (De-ddwyrain)'!D45,'Prisiau Tai (De-ddwyrain)'!V45)</f>
        <v>162488.08247630892</v>
      </c>
      <c r="AD45" s="4">
        <f>IF('Rhaniad y Ddeiliadaeth (Cymru)'!$D$18="Data Cofrestrfa Tir",'Prisiau Tai (De-ddwyrain)'!E45,'Prisiau Tai (De-ddwyrain)'!W45)</f>
        <v>162849.87108688484</v>
      </c>
      <c r="AE45" s="4">
        <f>IF('Rhaniad y Ddeiliadaeth (Cymru)'!$D$18="Data Cofrestrfa Tir",'Prisiau Tai (De-ddwyrain)'!F45,'Prisiau Tai (De-ddwyrain)'!X45)</f>
        <v>166355.11359974599</v>
      </c>
      <c r="AF45" s="4">
        <f>IF('Rhaniad y Ddeiliadaeth (Cymru)'!$D$18="Data Cofrestrfa Tir",'Prisiau Tai (De-ddwyrain)'!G45,'Prisiau Tai (De-ddwyrain)'!Y45)</f>
        <v>172842.82470936302</v>
      </c>
      <c r="AG45" s="4">
        <f>IF('Rhaniad y Ddeiliadaeth (Cymru)'!$D$18="Data Cofrestrfa Tir",'Prisiau Tai (De-ddwyrain)'!H45,'Prisiau Tai (De-ddwyrain)'!Z45)</f>
        <v>180012.33192538095</v>
      </c>
    </row>
    <row r="46" spans="2:33" x14ac:dyDescent="0.25">
      <c r="B46" s="20">
        <v>52</v>
      </c>
      <c r="C46" s="56">
        <v>160000</v>
      </c>
      <c r="D46" s="57">
        <f>C46*(1+'Rhaniad y Ddeiliadaeth (De-ddn)'!C$118)</f>
        <v>164544.8936468951</v>
      </c>
      <c r="E46" s="57">
        <f>D46*(1+'Rhaniad y Ddeiliadaeth (De-ddn)'!D$118)</f>
        <v>164911.26186013652</v>
      </c>
      <c r="F46" s="57">
        <f>E46*(1+'Rhaniad y Ddeiliadaeth (De-ddn)'!E$118)</f>
        <v>168460.87453138831</v>
      </c>
      <c r="G46" s="57">
        <f>F46*(1+'Rhaniad y Ddeiliadaeth (De-ddn)'!F$118)</f>
        <v>175030.70856644353</v>
      </c>
      <c r="H46" s="58">
        <f>G46*(1+'Rhaniad y Ddeiliadaeth (De-ddn)'!G$118)</f>
        <v>182290.96903836043</v>
      </c>
      <c r="L46" s="62" t="str">
        <f t="shared" si="0"/>
        <v/>
      </c>
      <c r="M46" s="239"/>
      <c r="N46" s="14">
        <f t="shared" si="3"/>
        <v>1</v>
      </c>
      <c r="T46" s="1">
        <f t="shared" si="1"/>
        <v>52</v>
      </c>
      <c r="U46" s="4" t="str">
        <f t="shared" si="2"/>
        <v/>
      </c>
      <c r="V46" s="4" t="e">
        <f>IF($V$3=$M$3,M46,U46*(1+'Rhaniad y Ddeiliadaeth (Cymru)'!C$118))</f>
        <v>#VALUE!</v>
      </c>
      <c r="W46" s="4" t="e">
        <f>V46*(1+'Rhaniad y Ddeiliadaeth (Cymru)'!D$118)</f>
        <v>#VALUE!</v>
      </c>
      <c r="X46" s="4" t="e">
        <f>W46*(1+'Rhaniad y Ddeiliadaeth (Cymru)'!E$118)</f>
        <v>#VALUE!</v>
      </c>
      <c r="Y46" s="4" t="e">
        <f>X46*(1+'Rhaniad y Ddeiliadaeth (Cymru)'!F$118)</f>
        <v>#VALUE!</v>
      </c>
      <c r="Z46" s="4" t="e">
        <f>Y46*(1+'Rhaniad y Ddeiliadaeth (Cymru)'!G$118)</f>
        <v>#VALUE!</v>
      </c>
      <c r="AB46" s="1">
        <v>52</v>
      </c>
      <c r="AC46" s="4">
        <f>IF('Rhaniad y Ddeiliadaeth (Cymru)'!$D$18="Data Cofrestrfa Tir",'Prisiau Tai (De-ddwyrain)'!D46,'Prisiau Tai (De-ddwyrain)'!V46)</f>
        <v>164544.8936468951</v>
      </c>
      <c r="AD46" s="4">
        <f>IF('Rhaniad y Ddeiliadaeth (Cymru)'!$D$18="Data Cofrestrfa Tir",'Prisiau Tai (De-ddwyrain)'!E46,'Prisiau Tai (De-ddwyrain)'!W46)</f>
        <v>164911.26186013652</v>
      </c>
      <c r="AE46" s="4">
        <f>IF('Rhaniad y Ddeiliadaeth (Cymru)'!$D$18="Data Cofrestrfa Tir",'Prisiau Tai (De-ddwyrain)'!F46,'Prisiau Tai (De-ddwyrain)'!X46)</f>
        <v>168460.87453138831</v>
      </c>
      <c r="AF46" s="4">
        <f>IF('Rhaniad y Ddeiliadaeth (Cymru)'!$D$18="Data Cofrestrfa Tir",'Prisiau Tai (De-ddwyrain)'!G46,'Prisiau Tai (De-ddwyrain)'!Y46)</f>
        <v>175030.70856644353</v>
      </c>
      <c r="AG46" s="4">
        <f>IF('Rhaniad y Ddeiliadaeth (Cymru)'!$D$18="Data Cofrestrfa Tir",'Prisiau Tai (De-ddwyrain)'!H46,'Prisiau Tai (De-ddwyrain)'!Z46)</f>
        <v>182290.96903836043</v>
      </c>
    </row>
    <row r="47" spans="2:33" x14ac:dyDescent="0.25">
      <c r="B47" s="20">
        <v>53</v>
      </c>
      <c r="C47" s="56">
        <v>161500</v>
      </c>
      <c r="D47" s="57">
        <f>C47*(1+'Rhaniad y Ddeiliadaeth (De-ddn)'!C$118)</f>
        <v>166087.50202483474</v>
      </c>
      <c r="E47" s="57">
        <f>D47*(1+'Rhaniad y Ddeiliadaeth (De-ddn)'!D$118)</f>
        <v>166457.30494007532</v>
      </c>
      <c r="F47" s="57">
        <f>E47*(1+'Rhaniad y Ddeiliadaeth (De-ddn)'!E$118)</f>
        <v>170040.19523012009</v>
      </c>
      <c r="G47" s="57">
        <f>F47*(1+'Rhaniad y Ddeiliadaeth (De-ddn)'!F$118)</f>
        <v>176671.62145925395</v>
      </c>
      <c r="H47" s="58">
        <f>G47*(1+'Rhaniad y Ddeiliadaeth (De-ddn)'!G$118)</f>
        <v>183999.94687309506</v>
      </c>
      <c r="L47" s="62" t="str">
        <f t="shared" si="0"/>
        <v/>
      </c>
      <c r="M47" s="239"/>
      <c r="N47" s="14">
        <f t="shared" si="3"/>
        <v>1</v>
      </c>
      <c r="T47" s="1">
        <f t="shared" si="1"/>
        <v>53</v>
      </c>
      <c r="U47" s="4" t="str">
        <f t="shared" si="2"/>
        <v/>
      </c>
      <c r="V47" s="4" t="e">
        <f>IF($V$3=$M$3,M47,U47*(1+'Rhaniad y Ddeiliadaeth (Cymru)'!C$118))</f>
        <v>#VALUE!</v>
      </c>
      <c r="W47" s="4" t="e">
        <f>V47*(1+'Rhaniad y Ddeiliadaeth (Cymru)'!D$118)</f>
        <v>#VALUE!</v>
      </c>
      <c r="X47" s="4" t="e">
        <f>W47*(1+'Rhaniad y Ddeiliadaeth (Cymru)'!E$118)</f>
        <v>#VALUE!</v>
      </c>
      <c r="Y47" s="4" t="e">
        <f>X47*(1+'Rhaniad y Ddeiliadaeth (Cymru)'!F$118)</f>
        <v>#VALUE!</v>
      </c>
      <c r="Z47" s="4" t="e">
        <f>Y47*(1+'Rhaniad y Ddeiliadaeth (Cymru)'!G$118)</f>
        <v>#VALUE!</v>
      </c>
      <c r="AB47" s="1">
        <v>53</v>
      </c>
      <c r="AC47" s="4">
        <f>IF('Rhaniad y Ddeiliadaeth (Cymru)'!$D$18="Data Cofrestrfa Tir",'Prisiau Tai (De-ddwyrain)'!D47,'Prisiau Tai (De-ddwyrain)'!V47)</f>
        <v>166087.50202483474</v>
      </c>
      <c r="AD47" s="4">
        <f>IF('Rhaniad y Ddeiliadaeth (Cymru)'!$D$18="Data Cofrestrfa Tir",'Prisiau Tai (De-ddwyrain)'!E47,'Prisiau Tai (De-ddwyrain)'!W47)</f>
        <v>166457.30494007532</v>
      </c>
      <c r="AE47" s="4">
        <f>IF('Rhaniad y Ddeiliadaeth (Cymru)'!$D$18="Data Cofrestrfa Tir",'Prisiau Tai (De-ddwyrain)'!F47,'Prisiau Tai (De-ddwyrain)'!X47)</f>
        <v>170040.19523012009</v>
      </c>
      <c r="AF47" s="4">
        <f>IF('Rhaniad y Ddeiliadaeth (Cymru)'!$D$18="Data Cofrestrfa Tir",'Prisiau Tai (De-ddwyrain)'!G47,'Prisiau Tai (De-ddwyrain)'!Y47)</f>
        <v>176671.62145925395</v>
      </c>
      <c r="AG47" s="4">
        <f>IF('Rhaniad y Ddeiliadaeth (Cymru)'!$D$18="Data Cofrestrfa Tir",'Prisiau Tai (De-ddwyrain)'!H47,'Prisiau Tai (De-ddwyrain)'!Z47)</f>
        <v>183999.94687309506</v>
      </c>
    </row>
    <row r="48" spans="2:33" x14ac:dyDescent="0.25">
      <c r="B48" s="20">
        <v>54</v>
      </c>
      <c r="C48" s="56">
        <v>164950</v>
      </c>
      <c r="D48" s="57">
        <f>C48*(1+'Rhaniad y Ddeiliadaeth (De-ddn)'!C$118)</f>
        <v>169635.50129409594</v>
      </c>
      <c r="E48" s="57">
        <f>D48*(1+'Rhaniad y Ddeiliadaeth (De-ddn)'!D$118)</f>
        <v>170013.20402393452</v>
      </c>
      <c r="F48" s="57">
        <f>E48*(1+'Rhaniad y Ddeiliadaeth (De-ddn)'!E$118)</f>
        <v>173672.63283720319</v>
      </c>
      <c r="G48" s="57">
        <f>F48*(1+'Rhaniad y Ddeiliadaeth (De-ddn)'!F$118)</f>
        <v>180445.7211127179</v>
      </c>
      <c r="H48" s="58">
        <f>G48*(1+'Rhaniad y Ddeiliadaeth (De-ddn)'!G$118)</f>
        <v>187930.59589298471</v>
      </c>
      <c r="L48" s="62" t="str">
        <f t="shared" si="0"/>
        <v/>
      </c>
      <c r="M48" s="239"/>
      <c r="N48" s="14">
        <f t="shared" si="3"/>
        <v>1</v>
      </c>
      <c r="T48" s="1">
        <f t="shared" si="1"/>
        <v>54</v>
      </c>
      <c r="U48" s="4" t="str">
        <f t="shared" si="2"/>
        <v/>
      </c>
      <c r="V48" s="4" t="e">
        <f>IF($V$3=$M$3,M48,U48*(1+'Rhaniad y Ddeiliadaeth (Cymru)'!C$118))</f>
        <v>#VALUE!</v>
      </c>
      <c r="W48" s="4" t="e">
        <f>V48*(1+'Rhaniad y Ddeiliadaeth (Cymru)'!D$118)</f>
        <v>#VALUE!</v>
      </c>
      <c r="X48" s="4" t="e">
        <f>W48*(1+'Rhaniad y Ddeiliadaeth (Cymru)'!E$118)</f>
        <v>#VALUE!</v>
      </c>
      <c r="Y48" s="4" t="e">
        <f>X48*(1+'Rhaniad y Ddeiliadaeth (Cymru)'!F$118)</f>
        <v>#VALUE!</v>
      </c>
      <c r="Z48" s="4" t="e">
        <f>Y48*(1+'Rhaniad y Ddeiliadaeth (Cymru)'!G$118)</f>
        <v>#VALUE!</v>
      </c>
      <c r="AB48" s="1">
        <v>54</v>
      </c>
      <c r="AC48" s="4">
        <f>IF('Rhaniad y Ddeiliadaeth (Cymru)'!$D$18="Data Cofrestrfa Tir",'Prisiau Tai (De-ddwyrain)'!D48,'Prisiau Tai (De-ddwyrain)'!V48)</f>
        <v>169635.50129409594</v>
      </c>
      <c r="AD48" s="4">
        <f>IF('Rhaniad y Ddeiliadaeth (Cymru)'!$D$18="Data Cofrestrfa Tir",'Prisiau Tai (De-ddwyrain)'!E48,'Prisiau Tai (De-ddwyrain)'!W48)</f>
        <v>170013.20402393452</v>
      </c>
      <c r="AE48" s="4">
        <f>IF('Rhaniad y Ddeiliadaeth (Cymru)'!$D$18="Data Cofrestrfa Tir",'Prisiau Tai (De-ddwyrain)'!F48,'Prisiau Tai (De-ddwyrain)'!X48)</f>
        <v>173672.63283720319</v>
      </c>
      <c r="AF48" s="4">
        <f>IF('Rhaniad y Ddeiliadaeth (Cymru)'!$D$18="Data Cofrestrfa Tir",'Prisiau Tai (De-ddwyrain)'!G48,'Prisiau Tai (De-ddwyrain)'!Y48)</f>
        <v>180445.7211127179</v>
      </c>
      <c r="AG48" s="4">
        <f>IF('Rhaniad y Ddeiliadaeth (Cymru)'!$D$18="Data Cofrestrfa Tir",'Prisiau Tai (De-ddwyrain)'!H48,'Prisiau Tai (De-ddwyrain)'!Z48)</f>
        <v>187930.59589298471</v>
      </c>
    </row>
    <row r="49" spans="2:33" x14ac:dyDescent="0.25">
      <c r="B49" s="20">
        <v>55</v>
      </c>
      <c r="C49" s="56">
        <v>165000</v>
      </c>
      <c r="D49" s="57">
        <f>C49*(1+'Rhaniad y Ddeiliadaeth (De-ddn)'!C$118)</f>
        <v>169686.9215733606</v>
      </c>
      <c r="E49" s="57">
        <f>D49*(1+'Rhaniad y Ddeiliadaeth (De-ddn)'!D$118)</f>
        <v>170064.73879326583</v>
      </c>
      <c r="F49" s="57">
        <f>E49*(1+'Rhaniad y Ddeiliadaeth (De-ddn)'!E$118)</f>
        <v>173725.27686049425</v>
      </c>
      <c r="G49" s="57">
        <f>F49*(1+'Rhaniad y Ddeiliadaeth (De-ddn)'!F$118)</f>
        <v>180500.41820914493</v>
      </c>
      <c r="H49" s="58">
        <f>G49*(1+'Rhaniad y Ddeiliadaeth (De-ddn)'!G$118)</f>
        <v>187987.56182080923</v>
      </c>
      <c r="L49" s="62" t="str">
        <f t="shared" si="0"/>
        <v/>
      </c>
      <c r="M49" s="239"/>
      <c r="N49" s="14">
        <f t="shared" si="3"/>
        <v>1</v>
      </c>
      <c r="T49" s="1">
        <f t="shared" si="1"/>
        <v>55</v>
      </c>
      <c r="U49" s="4" t="str">
        <f t="shared" si="2"/>
        <v/>
      </c>
      <c r="V49" s="4" t="e">
        <f>IF($V$3=$M$3,M49,U49*(1+'Rhaniad y Ddeiliadaeth (Cymru)'!C$118))</f>
        <v>#VALUE!</v>
      </c>
      <c r="W49" s="4" t="e">
        <f>V49*(1+'Rhaniad y Ddeiliadaeth (Cymru)'!D$118)</f>
        <v>#VALUE!</v>
      </c>
      <c r="X49" s="4" t="e">
        <f>W49*(1+'Rhaniad y Ddeiliadaeth (Cymru)'!E$118)</f>
        <v>#VALUE!</v>
      </c>
      <c r="Y49" s="4" t="e">
        <f>X49*(1+'Rhaniad y Ddeiliadaeth (Cymru)'!F$118)</f>
        <v>#VALUE!</v>
      </c>
      <c r="Z49" s="4" t="e">
        <f>Y49*(1+'Rhaniad y Ddeiliadaeth (Cymru)'!G$118)</f>
        <v>#VALUE!</v>
      </c>
      <c r="AB49" s="1">
        <v>55</v>
      </c>
      <c r="AC49" s="4">
        <f>IF('Rhaniad y Ddeiliadaeth (Cymru)'!$D$18="Data Cofrestrfa Tir",'Prisiau Tai (De-ddwyrain)'!D49,'Prisiau Tai (De-ddwyrain)'!V49)</f>
        <v>169686.9215733606</v>
      </c>
      <c r="AD49" s="4">
        <f>IF('Rhaniad y Ddeiliadaeth (Cymru)'!$D$18="Data Cofrestrfa Tir",'Prisiau Tai (De-ddwyrain)'!E49,'Prisiau Tai (De-ddwyrain)'!W49)</f>
        <v>170064.73879326583</v>
      </c>
      <c r="AE49" s="4">
        <f>IF('Rhaniad y Ddeiliadaeth (Cymru)'!$D$18="Data Cofrestrfa Tir",'Prisiau Tai (De-ddwyrain)'!F49,'Prisiau Tai (De-ddwyrain)'!X49)</f>
        <v>173725.27686049425</v>
      </c>
      <c r="AF49" s="4">
        <f>IF('Rhaniad y Ddeiliadaeth (Cymru)'!$D$18="Data Cofrestrfa Tir",'Prisiau Tai (De-ddwyrain)'!G49,'Prisiau Tai (De-ddwyrain)'!Y49)</f>
        <v>180500.41820914493</v>
      </c>
      <c r="AG49" s="4">
        <f>IF('Rhaniad y Ddeiliadaeth (Cymru)'!$D$18="Data Cofrestrfa Tir",'Prisiau Tai (De-ddwyrain)'!H49,'Prisiau Tai (De-ddwyrain)'!Z49)</f>
        <v>187987.56182080923</v>
      </c>
    </row>
    <row r="50" spans="2:33" x14ac:dyDescent="0.25">
      <c r="B50" s="20">
        <v>56</v>
      </c>
      <c r="C50" s="56">
        <v>168949.2</v>
      </c>
      <c r="D50" s="57">
        <f>C50*(1+'Rhaniad y Ddeiliadaeth (De-ddn)'!C$118)</f>
        <v>173748.30091080008</v>
      </c>
      <c r="E50" s="57">
        <f>D50*(1+'Rhaniad y Ddeiliadaeth (De-ddn)'!D$118)</f>
        <v>174135.16101412865</v>
      </c>
      <c r="F50" s="57">
        <f>E50*(1+'Rhaniad y Ddeiliadaeth (De-ddn)'!E$118)</f>
        <v>177883.31239611525</v>
      </c>
      <c r="G50" s="57">
        <f>F50*(1+'Rhaniad y Ddeiliadaeth (De-ddn)'!F$118)</f>
        <v>184820.61367333619</v>
      </c>
      <c r="H50" s="58">
        <f>G50*(1+'Rhaniad y Ddeiliadaeth (De-ddn)'!G$118)</f>
        <v>192486.95866409858</v>
      </c>
      <c r="L50" s="62" t="str">
        <f t="shared" si="0"/>
        <v/>
      </c>
      <c r="M50" s="239"/>
      <c r="N50" s="14">
        <f t="shared" si="3"/>
        <v>1</v>
      </c>
      <c r="T50" s="1">
        <f t="shared" si="1"/>
        <v>56</v>
      </c>
      <c r="U50" s="4" t="str">
        <f t="shared" si="2"/>
        <v/>
      </c>
      <c r="V50" s="4" t="e">
        <f>IF($V$3=$M$3,M50,U50*(1+'Rhaniad y Ddeiliadaeth (Cymru)'!C$118))</f>
        <v>#VALUE!</v>
      </c>
      <c r="W50" s="4" t="e">
        <f>V50*(1+'Rhaniad y Ddeiliadaeth (Cymru)'!D$118)</f>
        <v>#VALUE!</v>
      </c>
      <c r="X50" s="4" t="e">
        <f>W50*(1+'Rhaniad y Ddeiliadaeth (Cymru)'!E$118)</f>
        <v>#VALUE!</v>
      </c>
      <c r="Y50" s="4" t="e">
        <f>X50*(1+'Rhaniad y Ddeiliadaeth (Cymru)'!F$118)</f>
        <v>#VALUE!</v>
      </c>
      <c r="Z50" s="4" t="e">
        <f>Y50*(1+'Rhaniad y Ddeiliadaeth (Cymru)'!G$118)</f>
        <v>#VALUE!</v>
      </c>
      <c r="AB50" s="1">
        <v>56</v>
      </c>
      <c r="AC50" s="4">
        <f>IF('Rhaniad y Ddeiliadaeth (Cymru)'!$D$18="Data Cofrestrfa Tir",'Prisiau Tai (De-ddwyrain)'!D50,'Prisiau Tai (De-ddwyrain)'!V50)</f>
        <v>173748.30091080008</v>
      </c>
      <c r="AD50" s="4">
        <f>IF('Rhaniad y Ddeiliadaeth (Cymru)'!$D$18="Data Cofrestrfa Tir",'Prisiau Tai (De-ddwyrain)'!E50,'Prisiau Tai (De-ddwyrain)'!W50)</f>
        <v>174135.16101412865</v>
      </c>
      <c r="AE50" s="4">
        <f>IF('Rhaniad y Ddeiliadaeth (Cymru)'!$D$18="Data Cofrestrfa Tir",'Prisiau Tai (De-ddwyrain)'!F50,'Prisiau Tai (De-ddwyrain)'!X50)</f>
        <v>177883.31239611525</v>
      </c>
      <c r="AF50" s="4">
        <f>IF('Rhaniad y Ddeiliadaeth (Cymru)'!$D$18="Data Cofrestrfa Tir",'Prisiau Tai (De-ddwyrain)'!G50,'Prisiau Tai (De-ddwyrain)'!Y50)</f>
        <v>184820.61367333619</v>
      </c>
      <c r="AG50" s="4">
        <f>IF('Rhaniad y Ddeiliadaeth (Cymru)'!$D$18="Data Cofrestrfa Tir",'Prisiau Tai (De-ddwyrain)'!H50,'Prisiau Tai (De-ddwyrain)'!Z50)</f>
        <v>192486.95866409858</v>
      </c>
    </row>
    <row r="51" spans="2:33" x14ac:dyDescent="0.25">
      <c r="B51" s="20">
        <v>57</v>
      </c>
      <c r="C51" s="56">
        <v>170000</v>
      </c>
      <c r="D51" s="57">
        <f>C51*(1+'Rhaniad y Ddeiliadaeth (De-ddn)'!C$118)</f>
        <v>174828.94949982606</v>
      </c>
      <c r="E51" s="57">
        <f>D51*(1+'Rhaniad y Ddeiliadaeth (De-ddn)'!D$118)</f>
        <v>175218.21572639508</v>
      </c>
      <c r="F51" s="57">
        <f>E51*(1+'Rhaniad y Ddeiliadaeth (De-ddn)'!E$118)</f>
        <v>178989.67918960011</v>
      </c>
      <c r="G51" s="57">
        <f>F51*(1+'Rhaniad y Ddeiliadaeth (De-ddn)'!F$118)</f>
        <v>185970.12785184628</v>
      </c>
      <c r="H51" s="58">
        <f>G51*(1+'Rhaniad y Ddeiliadaeth (De-ddn)'!G$118)</f>
        <v>193684.15460325798</v>
      </c>
      <c r="L51" s="62" t="str">
        <f t="shared" si="0"/>
        <v/>
      </c>
      <c r="M51" s="239"/>
      <c r="N51" s="14">
        <f t="shared" si="3"/>
        <v>1</v>
      </c>
      <c r="T51" s="1">
        <f t="shared" si="1"/>
        <v>57</v>
      </c>
      <c r="U51" s="4" t="str">
        <f t="shared" si="2"/>
        <v/>
      </c>
      <c r="V51" s="4" t="e">
        <f>IF($V$3=$M$3,M51,U51*(1+'Rhaniad y Ddeiliadaeth (Cymru)'!C$118))</f>
        <v>#VALUE!</v>
      </c>
      <c r="W51" s="4" t="e">
        <f>V51*(1+'Rhaniad y Ddeiliadaeth (Cymru)'!D$118)</f>
        <v>#VALUE!</v>
      </c>
      <c r="X51" s="4" t="e">
        <f>W51*(1+'Rhaniad y Ddeiliadaeth (Cymru)'!E$118)</f>
        <v>#VALUE!</v>
      </c>
      <c r="Y51" s="4" t="e">
        <f>X51*(1+'Rhaniad y Ddeiliadaeth (Cymru)'!F$118)</f>
        <v>#VALUE!</v>
      </c>
      <c r="Z51" s="4" t="e">
        <f>Y51*(1+'Rhaniad y Ddeiliadaeth (Cymru)'!G$118)</f>
        <v>#VALUE!</v>
      </c>
      <c r="AB51" s="1">
        <v>57</v>
      </c>
      <c r="AC51" s="4">
        <f>IF('Rhaniad y Ddeiliadaeth (Cymru)'!$D$18="Data Cofrestrfa Tir",'Prisiau Tai (De-ddwyrain)'!D51,'Prisiau Tai (De-ddwyrain)'!V51)</f>
        <v>174828.94949982606</v>
      </c>
      <c r="AD51" s="4">
        <f>IF('Rhaniad y Ddeiliadaeth (Cymru)'!$D$18="Data Cofrestrfa Tir",'Prisiau Tai (De-ddwyrain)'!E51,'Prisiau Tai (De-ddwyrain)'!W51)</f>
        <v>175218.21572639508</v>
      </c>
      <c r="AE51" s="4">
        <f>IF('Rhaniad y Ddeiliadaeth (Cymru)'!$D$18="Data Cofrestrfa Tir",'Prisiau Tai (De-ddwyrain)'!F51,'Prisiau Tai (De-ddwyrain)'!X51)</f>
        <v>178989.67918960011</v>
      </c>
      <c r="AF51" s="4">
        <f>IF('Rhaniad y Ddeiliadaeth (Cymru)'!$D$18="Data Cofrestrfa Tir",'Prisiau Tai (De-ddwyrain)'!G51,'Prisiau Tai (De-ddwyrain)'!Y51)</f>
        <v>185970.12785184628</v>
      </c>
      <c r="AG51" s="4">
        <f>IF('Rhaniad y Ddeiliadaeth (Cymru)'!$D$18="Data Cofrestrfa Tir",'Prisiau Tai (De-ddwyrain)'!H51,'Prisiau Tai (De-ddwyrain)'!Z51)</f>
        <v>193684.15460325798</v>
      </c>
    </row>
    <row r="52" spans="2:33" x14ac:dyDescent="0.25">
      <c r="B52" s="20">
        <v>58</v>
      </c>
      <c r="C52" s="56">
        <v>173000</v>
      </c>
      <c r="D52" s="57">
        <f>C52*(1+'Rhaniad y Ddeiliadaeth (De-ddn)'!C$118)</f>
        <v>177914.16625570535</v>
      </c>
      <c r="E52" s="57">
        <f>D52*(1+'Rhaniad y Ddeiliadaeth (De-ddn)'!D$118)</f>
        <v>178310.30188627265</v>
      </c>
      <c r="F52" s="57">
        <f>E52*(1+'Rhaniad y Ddeiliadaeth (De-ddn)'!E$118)</f>
        <v>182148.32058706364</v>
      </c>
      <c r="G52" s="57">
        <f>F52*(1+'Rhaniad y Ddeiliadaeth (De-ddn)'!F$118)</f>
        <v>189251.95363746709</v>
      </c>
      <c r="H52" s="58">
        <f>G52*(1+'Rhaniad y Ddeiliadaeth (De-ddn)'!G$118)</f>
        <v>197102.11027272724</v>
      </c>
      <c r="L52" s="62" t="str">
        <f t="shared" si="0"/>
        <v/>
      </c>
      <c r="M52" s="239"/>
      <c r="N52" s="14">
        <f t="shared" si="3"/>
        <v>1</v>
      </c>
      <c r="T52" s="1">
        <f t="shared" si="1"/>
        <v>58</v>
      </c>
      <c r="U52" s="4" t="str">
        <f t="shared" si="2"/>
        <v/>
      </c>
      <c r="V52" s="4" t="e">
        <f>IF($V$3=$M$3,M52,U52*(1+'Rhaniad y Ddeiliadaeth (Cymru)'!C$118))</f>
        <v>#VALUE!</v>
      </c>
      <c r="W52" s="4" t="e">
        <f>V52*(1+'Rhaniad y Ddeiliadaeth (Cymru)'!D$118)</f>
        <v>#VALUE!</v>
      </c>
      <c r="X52" s="4" t="e">
        <f>W52*(1+'Rhaniad y Ddeiliadaeth (Cymru)'!E$118)</f>
        <v>#VALUE!</v>
      </c>
      <c r="Y52" s="4" t="e">
        <f>X52*(1+'Rhaniad y Ddeiliadaeth (Cymru)'!F$118)</f>
        <v>#VALUE!</v>
      </c>
      <c r="Z52" s="4" t="e">
        <f>Y52*(1+'Rhaniad y Ddeiliadaeth (Cymru)'!G$118)</f>
        <v>#VALUE!</v>
      </c>
      <c r="AB52" s="1">
        <v>58</v>
      </c>
      <c r="AC52" s="4">
        <f>IF('Rhaniad y Ddeiliadaeth (Cymru)'!$D$18="Data Cofrestrfa Tir",'Prisiau Tai (De-ddwyrain)'!D52,'Prisiau Tai (De-ddwyrain)'!V52)</f>
        <v>177914.16625570535</v>
      </c>
      <c r="AD52" s="4">
        <f>IF('Rhaniad y Ddeiliadaeth (Cymru)'!$D$18="Data Cofrestrfa Tir",'Prisiau Tai (De-ddwyrain)'!E52,'Prisiau Tai (De-ddwyrain)'!W52)</f>
        <v>178310.30188627265</v>
      </c>
      <c r="AE52" s="4">
        <f>IF('Rhaniad y Ddeiliadaeth (Cymru)'!$D$18="Data Cofrestrfa Tir",'Prisiau Tai (De-ddwyrain)'!F52,'Prisiau Tai (De-ddwyrain)'!X52)</f>
        <v>182148.32058706364</v>
      </c>
      <c r="AF52" s="4">
        <f>IF('Rhaniad y Ddeiliadaeth (Cymru)'!$D$18="Data Cofrestrfa Tir",'Prisiau Tai (De-ddwyrain)'!G52,'Prisiau Tai (De-ddwyrain)'!Y52)</f>
        <v>189251.95363746709</v>
      </c>
      <c r="AG52" s="4">
        <f>IF('Rhaniad y Ddeiliadaeth (Cymru)'!$D$18="Data Cofrestrfa Tir",'Prisiau Tai (De-ddwyrain)'!H52,'Prisiau Tai (De-ddwyrain)'!Z52)</f>
        <v>197102.11027272724</v>
      </c>
    </row>
    <row r="53" spans="2:33" x14ac:dyDescent="0.25">
      <c r="B53" s="20">
        <v>59</v>
      </c>
      <c r="C53" s="56">
        <v>175000</v>
      </c>
      <c r="D53" s="57">
        <f>C53*(1+'Rhaniad y Ddeiliadaeth (De-ddn)'!C$118)</f>
        <v>179970.97742629153</v>
      </c>
      <c r="E53" s="57">
        <f>D53*(1+'Rhaniad y Ddeiliadaeth (De-ddn)'!D$118)</f>
        <v>180371.69265952436</v>
      </c>
      <c r="F53" s="57">
        <f>E53*(1+'Rhaniad y Ddeiliadaeth (De-ddn)'!E$118)</f>
        <v>184254.08151870602</v>
      </c>
      <c r="G53" s="57">
        <f>F53*(1+'Rhaniad y Ddeiliadaeth (De-ddn)'!F$118)</f>
        <v>191439.83749454765</v>
      </c>
      <c r="H53" s="58">
        <f>G53*(1+'Rhaniad y Ddeiliadaeth (De-ddn)'!G$118)</f>
        <v>199380.74738570675</v>
      </c>
      <c r="L53" s="62" t="str">
        <f t="shared" si="0"/>
        <v/>
      </c>
      <c r="M53" s="239"/>
      <c r="N53" s="14">
        <f t="shared" si="3"/>
        <v>1</v>
      </c>
      <c r="T53" s="1">
        <f t="shared" si="1"/>
        <v>59</v>
      </c>
      <c r="U53" s="4" t="str">
        <f t="shared" si="2"/>
        <v/>
      </c>
      <c r="V53" s="4" t="e">
        <f>IF($V$3=$M$3,M53,U53*(1+'Rhaniad y Ddeiliadaeth (Cymru)'!C$118))</f>
        <v>#VALUE!</v>
      </c>
      <c r="W53" s="4" t="e">
        <f>V53*(1+'Rhaniad y Ddeiliadaeth (Cymru)'!D$118)</f>
        <v>#VALUE!</v>
      </c>
      <c r="X53" s="4" t="e">
        <f>W53*(1+'Rhaniad y Ddeiliadaeth (Cymru)'!E$118)</f>
        <v>#VALUE!</v>
      </c>
      <c r="Y53" s="4" t="e">
        <f>X53*(1+'Rhaniad y Ddeiliadaeth (Cymru)'!F$118)</f>
        <v>#VALUE!</v>
      </c>
      <c r="Z53" s="4" t="e">
        <f>Y53*(1+'Rhaniad y Ddeiliadaeth (Cymru)'!G$118)</f>
        <v>#VALUE!</v>
      </c>
      <c r="AB53" s="1">
        <v>59</v>
      </c>
      <c r="AC53" s="4">
        <f>IF('Rhaniad y Ddeiliadaeth (Cymru)'!$D$18="Data Cofrestrfa Tir",'Prisiau Tai (De-ddwyrain)'!D53,'Prisiau Tai (De-ddwyrain)'!V53)</f>
        <v>179970.97742629153</v>
      </c>
      <c r="AD53" s="4">
        <f>IF('Rhaniad y Ddeiliadaeth (Cymru)'!$D$18="Data Cofrestrfa Tir",'Prisiau Tai (De-ddwyrain)'!E53,'Prisiau Tai (De-ddwyrain)'!W53)</f>
        <v>180371.69265952436</v>
      </c>
      <c r="AE53" s="4">
        <f>IF('Rhaniad y Ddeiliadaeth (Cymru)'!$D$18="Data Cofrestrfa Tir",'Prisiau Tai (De-ddwyrain)'!F53,'Prisiau Tai (De-ddwyrain)'!X53)</f>
        <v>184254.08151870602</v>
      </c>
      <c r="AF53" s="4">
        <f>IF('Rhaniad y Ddeiliadaeth (Cymru)'!$D$18="Data Cofrestrfa Tir",'Prisiau Tai (De-ddwyrain)'!G53,'Prisiau Tai (De-ddwyrain)'!Y53)</f>
        <v>191439.83749454765</v>
      </c>
      <c r="AG53" s="4">
        <f>IF('Rhaniad y Ddeiliadaeth (Cymru)'!$D$18="Data Cofrestrfa Tir",'Prisiau Tai (De-ddwyrain)'!H53,'Prisiau Tai (De-ddwyrain)'!Z53)</f>
        <v>199380.74738570675</v>
      </c>
    </row>
    <row r="54" spans="2:33" x14ac:dyDescent="0.25">
      <c r="B54" s="20">
        <v>60</v>
      </c>
      <c r="C54" s="56">
        <v>178000</v>
      </c>
      <c r="D54" s="57">
        <f>C54*(1+'Rhaniad y Ddeiliadaeth (De-ddn)'!C$118)</f>
        <v>183056.19418217082</v>
      </c>
      <c r="E54" s="57">
        <f>D54*(1+'Rhaniad y Ddeiliadaeth (De-ddn)'!D$118)</f>
        <v>183463.77881940192</v>
      </c>
      <c r="F54" s="57">
        <f>E54*(1+'Rhaniad y Ddeiliadaeth (De-ddn)'!E$118)</f>
        <v>187412.72291616956</v>
      </c>
      <c r="G54" s="57">
        <f>F54*(1+'Rhaniad y Ddeiliadaeth (De-ddn)'!F$118)</f>
        <v>194721.66328016849</v>
      </c>
      <c r="H54" s="58">
        <f>G54*(1+'Rhaniad y Ddeiliadaeth (De-ddn)'!G$118)</f>
        <v>202798.70305517604</v>
      </c>
      <c r="L54" s="62" t="str">
        <f t="shared" si="0"/>
        <v/>
      </c>
      <c r="M54" s="239"/>
      <c r="N54" s="14">
        <f t="shared" si="3"/>
        <v>1</v>
      </c>
      <c r="T54" s="1">
        <f t="shared" si="1"/>
        <v>60</v>
      </c>
      <c r="U54" s="4" t="str">
        <f t="shared" si="2"/>
        <v/>
      </c>
      <c r="V54" s="4" t="e">
        <f>IF($V$3=$M$3,M54,U54*(1+'Rhaniad y Ddeiliadaeth (Cymru)'!C$118))</f>
        <v>#VALUE!</v>
      </c>
      <c r="W54" s="4" t="e">
        <f>V54*(1+'Rhaniad y Ddeiliadaeth (Cymru)'!D$118)</f>
        <v>#VALUE!</v>
      </c>
      <c r="X54" s="4" t="e">
        <f>W54*(1+'Rhaniad y Ddeiliadaeth (Cymru)'!E$118)</f>
        <v>#VALUE!</v>
      </c>
      <c r="Y54" s="4" t="e">
        <f>X54*(1+'Rhaniad y Ddeiliadaeth (Cymru)'!F$118)</f>
        <v>#VALUE!</v>
      </c>
      <c r="Z54" s="4" t="e">
        <f>Y54*(1+'Rhaniad y Ddeiliadaeth (Cymru)'!G$118)</f>
        <v>#VALUE!</v>
      </c>
      <c r="AB54" s="1">
        <v>60</v>
      </c>
      <c r="AC54" s="4">
        <f>IF('Rhaniad y Ddeiliadaeth (Cymru)'!$D$18="Data Cofrestrfa Tir",'Prisiau Tai (De-ddwyrain)'!D54,'Prisiau Tai (De-ddwyrain)'!V54)</f>
        <v>183056.19418217082</v>
      </c>
      <c r="AD54" s="4">
        <f>IF('Rhaniad y Ddeiliadaeth (Cymru)'!$D$18="Data Cofrestrfa Tir",'Prisiau Tai (De-ddwyrain)'!E54,'Prisiau Tai (De-ddwyrain)'!W54)</f>
        <v>183463.77881940192</v>
      </c>
      <c r="AE54" s="4">
        <f>IF('Rhaniad y Ddeiliadaeth (Cymru)'!$D$18="Data Cofrestrfa Tir",'Prisiau Tai (De-ddwyrain)'!F54,'Prisiau Tai (De-ddwyrain)'!X54)</f>
        <v>187412.72291616956</v>
      </c>
      <c r="AF54" s="4">
        <f>IF('Rhaniad y Ddeiliadaeth (Cymru)'!$D$18="Data Cofrestrfa Tir",'Prisiau Tai (De-ddwyrain)'!G54,'Prisiau Tai (De-ddwyrain)'!Y54)</f>
        <v>194721.66328016849</v>
      </c>
      <c r="AG54" s="4">
        <f>IF('Rhaniad y Ddeiliadaeth (Cymru)'!$D$18="Data Cofrestrfa Tir",'Prisiau Tai (De-ddwyrain)'!H54,'Prisiau Tai (De-ddwyrain)'!Z54)</f>
        <v>202798.70305517604</v>
      </c>
    </row>
    <row r="55" spans="2:33" x14ac:dyDescent="0.25">
      <c r="B55" s="20">
        <v>61</v>
      </c>
      <c r="C55" s="56">
        <v>180000</v>
      </c>
      <c r="D55" s="57">
        <f>C55*(1+'Rhaniad y Ddeiliadaeth (De-ddn)'!C$118)</f>
        <v>185113.005352757</v>
      </c>
      <c r="E55" s="57">
        <f>D55*(1+'Rhaniad y Ddeiliadaeth (De-ddn)'!D$118)</f>
        <v>185525.1695926536</v>
      </c>
      <c r="F55" s="57">
        <f>E55*(1+'Rhaniad y Ddeiliadaeth (De-ddn)'!E$118)</f>
        <v>189518.48384781188</v>
      </c>
      <c r="G55" s="57">
        <f>F55*(1+'Rhaniad y Ddeiliadaeth (De-ddn)'!F$118)</f>
        <v>196909.54713724897</v>
      </c>
      <c r="H55" s="58">
        <f>G55*(1+'Rhaniad y Ddeiliadaeth (De-ddn)'!G$118)</f>
        <v>205077.34016815547</v>
      </c>
      <c r="L55" s="62" t="str">
        <f t="shared" si="0"/>
        <v/>
      </c>
      <c r="M55" s="239"/>
      <c r="N55" s="14">
        <f t="shared" si="3"/>
        <v>1</v>
      </c>
      <c r="T55" s="1">
        <f t="shared" si="1"/>
        <v>61</v>
      </c>
      <c r="U55" s="4" t="str">
        <f t="shared" si="2"/>
        <v/>
      </c>
      <c r="V55" s="4" t="e">
        <f>IF($V$3=$M$3,M55,U55*(1+'Rhaniad y Ddeiliadaeth (Cymru)'!C$118))</f>
        <v>#VALUE!</v>
      </c>
      <c r="W55" s="4" t="e">
        <f>V55*(1+'Rhaniad y Ddeiliadaeth (Cymru)'!D$118)</f>
        <v>#VALUE!</v>
      </c>
      <c r="X55" s="4" t="e">
        <f>W55*(1+'Rhaniad y Ddeiliadaeth (Cymru)'!E$118)</f>
        <v>#VALUE!</v>
      </c>
      <c r="Y55" s="4" t="e">
        <f>X55*(1+'Rhaniad y Ddeiliadaeth (Cymru)'!F$118)</f>
        <v>#VALUE!</v>
      </c>
      <c r="Z55" s="4" t="e">
        <f>Y55*(1+'Rhaniad y Ddeiliadaeth (Cymru)'!G$118)</f>
        <v>#VALUE!</v>
      </c>
      <c r="AB55" s="1">
        <v>61</v>
      </c>
      <c r="AC55" s="4">
        <f>IF('Rhaniad y Ddeiliadaeth (Cymru)'!$D$18="Data Cofrestrfa Tir",'Prisiau Tai (De-ddwyrain)'!D55,'Prisiau Tai (De-ddwyrain)'!V55)</f>
        <v>185113.005352757</v>
      </c>
      <c r="AD55" s="4">
        <f>IF('Rhaniad y Ddeiliadaeth (Cymru)'!$D$18="Data Cofrestrfa Tir",'Prisiau Tai (De-ddwyrain)'!E55,'Prisiau Tai (De-ddwyrain)'!W55)</f>
        <v>185525.1695926536</v>
      </c>
      <c r="AE55" s="4">
        <f>IF('Rhaniad y Ddeiliadaeth (Cymru)'!$D$18="Data Cofrestrfa Tir",'Prisiau Tai (De-ddwyrain)'!F55,'Prisiau Tai (De-ddwyrain)'!X55)</f>
        <v>189518.48384781188</v>
      </c>
      <c r="AF55" s="4">
        <f>IF('Rhaniad y Ddeiliadaeth (Cymru)'!$D$18="Data Cofrestrfa Tir",'Prisiau Tai (De-ddwyrain)'!G55,'Prisiau Tai (De-ddwyrain)'!Y55)</f>
        <v>196909.54713724897</v>
      </c>
      <c r="AG55" s="4">
        <f>IF('Rhaniad y Ddeiliadaeth (Cymru)'!$D$18="Data Cofrestrfa Tir",'Prisiau Tai (De-ddwyrain)'!H55,'Prisiau Tai (De-ddwyrain)'!Z55)</f>
        <v>205077.34016815547</v>
      </c>
    </row>
    <row r="56" spans="2:33" x14ac:dyDescent="0.25">
      <c r="B56" s="20">
        <v>62</v>
      </c>
      <c r="C56" s="56">
        <v>182500</v>
      </c>
      <c r="D56" s="57">
        <f>C56*(1+'Rhaniad y Ddeiliadaeth (De-ddn)'!C$118)</f>
        <v>187684.01931598975</v>
      </c>
      <c r="E56" s="57">
        <f>D56*(1+'Rhaniad y Ddeiliadaeth (De-ddn)'!D$118)</f>
        <v>188101.90805921826</v>
      </c>
      <c r="F56" s="57">
        <f>E56*(1+'Rhaniad y Ddeiliadaeth (De-ddn)'!E$118)</f>
        <v>192150.68501236485</v>
      </c>
      <c r="G56" s="57">
        <f>F56*(1+'Rhaniad y Ddeiliadaeth (De-ddn)'!F$118)</f>
        <v>199644.40195859969</v>
      </c>
      <c r="H56" s="58">
        <f>G56*(1+'Rhaniad y Ddeiliadaeth (De-ddn)'!G$118)</f>
        <v>207925.6365593799</v>
      </c>
      <c r="L56" s="62" t="str">
        <f t="shared" si="0"/>
        <v/>
      </c>
      <c r="M56" s="239"/>
      <c r="N56" s="14">
        <f t="shared" si="3"/>
        <v>1</v>
      </c>
      <c r="T56" s="1">
        <f t="shared" si="1"/>
        <v>62</v>
      </c>
      <c r="U56" s="4" t="str">
        <f t="shared" si="2"/>
        <v/>
      </c>
      <c r="V56" s="4" t="e">
        <f>IF($V$3=$M$3,M56,U56*(1+'Rhaniad y Ddeiliadaeth (Cymru)'!C$118))</f>
        <v>#VALUE!</v>
      </c>
      <c r="W56" s="4" t="e">
        <f>V56*(1+'Rhaniad y Ddeiliadaeth (Cymru)'!D$118)</f>
        <v>#VALUE!</v>
      </c>
      <c r="X56" s="4" t="e">
        <f>W56*(1+'Rhaniad y Ddeiliadaeth (Cymru)'!E$118)</f>
        <v>#VALUE!</v>
      </c>
      <c r="Y56" s="4" t="e">
        <f>X56*(1+'Rhaniad y Ddeiliadaeth (Cymru)'!F$118)</f>
        <v>#VALUE!</v>
      </c>
      <c r="Z56" s="4" t="e">
        <f>Y56*(1+'Rhaniad y Ddeiliadaeth (Cymru)'!G$118)</f>
        <v>#VALUE!</v>
      </c>
      <c r="AB56" s="1">
        <v>62</v>
      </c>
      <c r="AC56" s="4">
        <f>IF('Rhaniad y Ddeiliadaeth (Cymru)'!$D$18="Data Cofrestrfa Tir",'Prisiau Tai (De-ddwyrain)'!D56,'Prisiau Tai (De-ddwyrain)'!V56)</f>
        <v>187684.01931598975</v>
      </c>
      <c r="AD56" s="4">
        <f>IF('Rhaniad y Ddeiliadaeth (Cymru)'!$D$18="Data Cofrestrfa Tir",'Prisiau Tai (De-ddwyrain)'!E56,'Prisiau Tai (De-ddwyrain)'!W56)</f>
        <v>188101.90805921826</v>
      </c>
      <c r="AE56" s="4">
        <f>IF('Rhaniad y Ddeiliadaeth (Cymru)'!$D$18="Data Cofrestrfa Tir",'Prisiau Tai (De-ddwyrain)'!F56,'Prisiau Tai (De-ddwyrain)'!X56)</f>
        <v>192150.68501236485</v>
      </c>
      <c r="AF56" s="4">
        <f>IF('Rhaniad y Ddeiliadaeth (Cymru)'!$D$18="Data Cofrestrfa Tir",'Prisiau Tai (De-ddwyrain)'!G56,'Prisiau Tai (De-ddwyrain)'!Y56)</f>
        <v>199644.40195859969</v>
      </c>
      <c r="AG56" s="4">
        <f>IF('Rhaniad y Ddeiliadaeth (Cymru)'!$D$18="Data Cofrestrfa Tir",'Prisiau Tai (De-ddwyrain)'!H56,'Prisiau Tai (De-ddwyrain)'!Z56)</f>
        <v>207925.6365593799</v>
      </c>
    </row>
    <row r="57" spans="2:33" x14ac:dyDescent="0.25">
      <c r="B57" s="20">
        <v>63</v>
      </c>
      <c r="C57" s="56">
        <v>185000</v>
      </c>
      <c r="D57" s="57">
        <f>C57*(1+'Rhaniad y Ddeiliadaeth (De-ddn)'!C$118)</f>
        <v>190255.03327922247</v>
      </c>
      <c r="E57" s="57">
        <f>D57*(1+'Rhaniad y Ddeiliadaeth (De-ddn)'!D$118)</f>
        <v>190678.64652578288</v>
      </c>
      <c r="F57" s="57">
        <f>E57*(1+'Rhaniad y Ddeiliadaeth (De-ddn)'!E$118)</f>
        <v>194782.88617691779</v>
      </c>
      <c r="G57" s="57">
        <f>F57*(1+'Rhaniad y Ddeiliadaeth (De-ddn)'!F$118)</f>
        <v>202379.25677995037</v>
      </c>
      <c r="H57" s="58">
        <f>G57*(1+'Rhaniad y Ddeiliadaeth (De-ddn)'!G$118)</f>
        <v>210773.93295060427</v>
      </c>
      <c r="L57" s="62" t="str">
        <f t="shared" si="0"/>
        <v/>
      </c>
      <c r="M57" s="239"/>
      <c r="N57" s="14">
        <f t="shared" si="3"/>
        <v>1</v>
      </c>
      <c r="T57" s="1">
        <f t="shared" si="1"/>
        <v>63</v>
      </c>
      <c r="U57" s="4" t="str">
        <f t="shared" si="2"/>
        <v/>
      </c>
      <c r="V57" s="4" t="e">
        <f>IF($V$3=$M$3,M57,U57*(1+'Rhaniad y Ddeiliadaeth (Cymru)'!C$118))</f>
        <v>#VALUE!</v>
      </c>
      <c r="W57" s="4" t="e">
        <f>V57*(1+'Rhaniad y Ddeiliadaeth (Cymru)'!D$118)</f>
        <v>#VALUE!</v>
      </c>
      <c r="X57" s="4" t="e">
        <f>W57*(1+'Rhaniad y Ddeiliadaeth (Cymru)'!E$118)</f>
        <v>#VALUE!</v>
      </c>
      <c r="Y57" s="4" t="e">
        <f>X57*(1+'Rhaniad y Ddeiliadaeth (Cymru)'!F$118)</f>
        <v>#VALUE!</v>
      </c>
      <c r="Z57" s="4" t="e">
        <f>Y57*(1+'Rhaniad y Ddeiliadaeth (Cymru)'!G$118)</f>
        <v>#VALUE!</v>
      </c>
      <c r="AB57" s="1">
        <v>63</v>
      </c>
      <c r="AC57" s="4">
        <f>IF('Rhaniad y Ddeiliadaeth (Cymru)'!$D$18="Data Cofrestrfa Tir",'Prisiau Tai (De-ddwyrain)'!D57,'Prisiau Tai (De-ddwyrain)'!V57)</f>
        <v>190255.03327922247</v>
      </c>
      <c r="AD57" s="4">
        <f>IF('Rhaniad y Ddeiliadaeth (Cymru)'!$D$18="Data Cofrestrfa Tir",'Prisiau Tai (De-ddwyrain)'!E57,'Prisiau Tai (De-ddwyrain)'!W57)</f>
        <v>190678.64652578288</v>
      </c>
      <c r="AE57" s="4">
        <f>IF('Rhaniad y Ddeiliadaeth (Cymru)'!$D$18="Data Cofrestrfa Tir",'Prisiau Tai (De-ddwyrain)'!F57,'Prisiau Tai (De-ddwyrain)'!X57)</f>
        <v>194782.88617691779</v>
      </c>
      <c r="AF57" s="4">
        <f>IF('Rhaniad y Ddeiliadaeth (Cymru)'!$D$18="Data Cofrestrfa Tir",'Prisiau Tai (De-ddwyrain)'!G57,'Prisiau Tai (De-ddwyrain)'!Y57)</f>
        <v>202379.25677995037</v>
      </c>
      <c r="AG57" s="4">
        <f>IF('Rhaniad y Ddeiliadaeth (Cymru)'!$D$18="Data Cofrestrfa Tir",'Prisiau Tai (De-ddwyrain)'!H57,'Prisiau Tai (De-ddwyrain)'!Z57)</f>
        <v>210773.93295060427</v>
      </c>
    </row>
    <row r="58" spans="2:33" x14ac:dyDescent="0.25">
      <c r="B58" s="20">
        <v>64</v>
      </c>
      <c r="C58" s="56">
        <v>188000</v>
      </c>
      <c r="D58" s="57">
        <f>C58*(1+'Rhaniad y Ddeiliadaeth (De-ddn)'!C$118)</f>
        <v>193340.25003510175</v>
      </c>
      <c r="E58" s="57">
        <f>D58*(1+'Rhaniad y Ddeiliadaeth (De-ddn)'!D$118)</f>
        <v>193770.73268566042</v>
      </c>
      <c r="F58" s="57">
        <f>E58*(1+'Rhaniad y Ddeiliadaeth (De-ddn)'!E$118)</f>
        <v>197941.5275743813</v>
      </c>
      <c r="G58" s="57">
        <f>F58*(1+'Rhaniad y Ddeiliadaeth (De-ddn)'!F$118)</f>
        <v>205661.08256557115</v>
      </c>
      <c r="H58" s="58">
        <f>G58*(1+'Rhaniad y Ddeiliadaeth (De-ddn)'!G$118)</f>
        <v>214191.8886200735</v>
      </c>
      <c r="L58" s="62" t="str">
        <f t="shared" si="0"/>
        <v/>
      </c>
      <c r="M58" s="239"/>
      <c r="N58" s="14">
        <f t="shared" si="3"/>
        <v>1</v>
      </c>
      <c r="T58" s="1">
        <f t="shared" si="1"/>
        <v>64</v>
      </c>
      <c r="U58" s="4" t="str">
        <f t="shared" si="2"/>
        <v/>
      </c>
      <c r="V58" s="4" t="e">
        <f>IF($V$3=$M$3,M58,U58*(1+'Rhaniad y Ddeiliadaeth (Cymru)'!C$118))</f>
        <v>#VALUE!</v>
      </c>
      <c r="W58" s="4" t="e">
        <f>V58*(1+'Rhaniad y Ddeiliadaeth (Cymru)'!D$118)</f>
        <v>#VALUE!</v>
      </c>
      <c r="X58" s="4" t="e">
        <f>W58*(1+'Rhaniad y Ddeiliadaeth (Cymru)'!E$118)</f>
        <v>#VALUE!</v>
      </c>
      <c r="Y58" s="4" t="e">
        <f>X58*(1+'Rhaniad y Ddeiliadaeth (Cymru)'!F$118)</f>
        <v>#VALUE!</v>
      </c>
      <c r="Z58" s="4" t="e">
        <f>Y58*(1+'Rhaniad y Ddeiliadaeth (Cymru)'!G$118)</f>
        <v>#VALUE!</v>
      </c>
      <c r="AB58" s="1">
        <v>64</v>
      </c>
      <c r="AC58" s="4">
        <f>IF('Rhaniad y Ddeiliadaeth (Cymru)'!$D$18="Data Cofrestrfa Tir",'Prisiau Tai (De-ddwyrain)'!D58,'Prisiau Tai (De-ddwyrain)'!V58)</f>
        <v>193340.25003510175</v>
      </c>
      <c r="AD58" s="4">
        <f>IF('Rhaniad y Ddeiliadaeth (Cymru)'!$D$18="Data Cofrestrfa Tir",'Prisiau Tai (De-ddwyrain)'!E58,'Prisiau Tai (De-ddwyrain)'!W58)</f>
        <v>193770.73268566042</v>
      </c>
      <c r="AE58" s="4">
        <f>IF('Rhaniad y Ddeiliadaeth (Cymru)'!$D$18="Data Cofrestrfa Tir",'Prisiau Tai (De-ddwyrain)'!F58,'Prisiau Tai (De-ddwyrain)'!X58)</f>
        <v>197941.5275743813</v>
      </c>
      <c r="AF58" s="4">
        <f>IF('Rhaniad y Ddeiliadaeth (Cymru)'!$D$18="Data Cofrestrfa Tir",'Prisiau Tai (De-ddwyrain)'!G58,'Prisiau Tai (De-ddwyrain)'!Y58)</f>
        <v>205661.08256557115</v>
      </c>
      <c r="AG58" s="4">
        <f>IF('Rhaniad y Ddeiliadaeth (Cymru)'!$D$18="Data Cofrestrfa Tir",'Prisiau Tai (De-ddwyrain)'!H58,'Prisiau Tai (De-ddwyrain)'!Z58)</f>
        <v>214191.8886200735</v>
      </c>
    </row>
    <row r="59" spans="2:33" x14ac:dyDescent="0.25">
      <c r="B59" s="20">
        <v>65</v>
      </c>
      <c r="C59" s="56">
        <v>190000</v>
      </c>
      <c r="D59" s="57">
        <f>C59*(1+'Rhaniad y Ddeiliadaeth (De-ddn)'!C$118)</f>
        <v>195397.06120568793</v>
      </c>
      <c r="E59" s="57">
        <f>D59*(1+'Rhaniad y Ddeiliadaeth (De-ddn)'!D$118)</f>
        <v>195832.12345891213</v>
      </c>
      <c r="F59" s="57">
        <f>E59*(1+'Rhaniad y Ddeiliadaeth (De-ddn)'!E$118)</f>
        <v>200047.28850602364</v>
      </c>
      <c r="G59" s="57">
        <f>F59*(1+'Rhaniad y Ddeiliadaeth (De-ddn)'!F$118)</f>
        <v>207848.96642265169</v>
      </c>
      <c r="H59" s="58">
        <f>G59*(1+'Rhaniad y Ddeiliadaeth (De-ddn)'!G$118)</f>
        <v>216470.52573305299</v>
      </c>
      <c r="L59" s="62" t="str">
        <f t="shared" si="0"/>
        <v/>
      </c>
      <c r="M59" s="239"/>
      <c r="N59" s="14">
        <f t="shared" si="3"/>
        <v>1</v>
      </c>
      <c r="T59" s="1">
        <f t="shared" si="1"/>
        <v>65</v>
      </c>
      <c r="U59" s="4" t="str">
        <f t="shared" si="2"/>
        <v/>
      </c>
      <c r="V59" s="4" t="e">
        <f>IF($V$3=$M$3,M59,U59*(1+'Rhaniad y Ddeiliadaeth (Cymru)'!C$118))</f>
        <v>#VALUE!</v>
      </c>
      <c r="W59" s="4" t="e">
        <f>V59*(1+'Rhaniad y Ddeiliadaeth (Cymru)'!D$118)</f>
        <v>#VALUE!</v>
      </c>
      <c r="X59" s="4" t="e">
        <f>W59*(1+'Rhaniad y Ddeiliadaeth (Cymru)'!E$118)</f>
        <v>#VALUE!</v>
      </c>
      <c r="Y59" s="4" t="e">
        <f>X59*(1+'Rhaniad y Ddeiliadaeth (Cymru)'!F$118)</f>
        <v>#VALUE!</v>
      </c>
      <c r="Z59" s="4" t="e">
        <f>Y59*(1+'Rhaniad y Ddeiliadaeth (Cymru)'!G$118)</f>
        <v>#VALUE!</v>
      </c>
      <c r="AB59" s="1">
        <v>65</v>
      </c>
      <c r="AC59" s="4">
        <f>IF('Rhaniad y Ddeiliadaeth (Cymru)'!$D$18="Data Cofrestrfa Tir",'Prisiau Tai (De-ddwyrain)'!D59,'Prisiau Tai (De-ddwyrain)'!V59)</f>
        <v>195397.06120568793</v>
      </c>
      <c r="AD59" s="4">
        <f>IF('Rhaniad y Ddeiliadaeth (Cymru)'!$D$18="Data Cofrestrfa Tir",'Prisiau Tai (De-ddwyrain)'!E59,'Prisiau Tai (De-ddwyrain)'!W59)</f>
        <v>195832.12345891213</v>
      </c>
      <c r="AE59" s="4">
        <f>IF('Rhaniad y Ddeiliadaeth (Cymru)'!$D$18="Data Cofrestrfa Tir",'Prisiau Tai (De-ddwyrain)'!F59,'Prisiau Tai (De-ddwyrain)'!X59)</f>
        <v>200047.28850602364</v>
      </c>
      <c r="AF59" s="4">
        <f>IF('Rhaniad y Ddeiliadaeth (Cymru)'!$D$18="Data Cofrestrfa Tir",'Prisiau Tai (De-ddwyrain)'!G59,'Prisiau Tai (De-ddwyrain)'!Y59)</f>
        <v>207848.96642265169</v>
      </c>
      <c r="AG59" s="4">
        <f>IF('Rhaniad y Ddeiliadaeth (Cymru)'!$D$18="Data Cofrestrfa Tir",'Prisiau Tai (De-ddwyrain)'!H59,'Prisiau Tai (De-ddwyrain)'!Z59)</f>
        <v>216470.52573305299</v>
      </c>
    </row>
    <row r="60" spans="2:33" x14ac:dyDescent="0.25">
      <c r="B60" s="20">
        <v>66</v>
      </c>
      <c r="C60" s="56">
        <v>194000</v>
      </c>
      <c r="D60" s="57">
        <f>C60*(1+'Rhaniad y Ddeiliadaeth (De-ddn)'!C$118)</f>
        <v>199510.68354686032</v>
      </c>
      <c r="E60" s="57">
        <f>D60*(1+'Rhaniad y Ddeiliadaeth (De-ddn)'!D$118)</f>
        <v>199954.90500541555</v>
      </c>
      <c r="F60" s="57">
        <f>E60*(1+'Rhaniad y Ddeiliadaeth (De-ddn)'!E$118)</f>
        <v>204258.81036930837</v>
      </c>
      <c r="G60" s="57">
        <f>F60*(1+'Rhaniad y Ddeiliadaeth (De-ddn)'!F$118)</f>
        <v>212224.7341368128</v>
      </c>
      <c r="H60" s="58">
        <f>G60*(1+'Rhaniad y Ddeiliadaeth (De-ddn)'!G$118)</f>
        <v>221027.79995901202</v>
      </c>
      <c r="L60" s="62" t="str">
        <f t="shared" si="0"/>
        <v/>
      </c>
      <c r="M60" s="239"/>
      <c r="N60" s="14">
        <f t="shared" si="3"/>
        <v>1</v>
      </c>
      <c r="T60" s="1">
        <f t="shared" si="1"/>
        <v>66</v>
      </c>
      <c r="U60" s="4" t="str">
        <f t="shared" si="2"/>
        <v/>
      </c>
      <c r="V60" s="4" t="e">
        <f>IF($V$3=$M$3,M60,U60*(1+'Rhaniad y Ddeiliadaeth (Cymru)'!C$118))</f>
        <v>#VALUE!</v>
      </c>
      <c r="W60" s="4" t="e">
        <f>V60*(1+'Rhaniad y Ddeiliadaeth (Cymru)'!D$118)</f>
        <v>#VALUE!</v>
      </c>
      <c r="X60" s="4" t="e">
        <f>W60*(1+'Rhaniad y Ddeiliadaeth (Cymru)'!E$118)</f>
        <v>#VALUE!</v>
      </c>
      <c r="Y60" s="4" t="e">
        <f>X60*(1+'Rhaniad y Ddeiliadaeth (Cymru)'!F$118)</f>
        <v>#VALUE!</v>
      </c>
      <c r="Z60" s="4" t="e">
        <f>Y60*(1+'Rhaniad y Ddeiliadaeth (Cymru)'!G$118)</f>
        <v>#VALUE!</v>
      </c>
      <c r="AB60" s="1">
        <v>66</v>
      </c>
      <c r="AC60" s="4">
        <f>IF('Rhaniad y Ddeiliadaeth (Cymru)'!$D$18="Data Cofrestrfa Tir",'Prisiau Tai (De-ddwyrain)'!D60,'Prisiau Tai (De-ddwyrain)'!V60)</f>
        <v>199510.68354686032</v>
      </c>
      <c r="AD60" s="4">
        <f>IF('Rhaniad y Ddeiliadaeth (Cymru)'!$D$18="Data Cofrestrfa Tir",'Prisiau Tai (De-ddwyrain)'!E60,'Prisiau Tai (De-ddwyrain)'!W60)</f>
        <v>199954.90500541555</v>
      </c>
      <c r="AE60" s="4">
        <f>IF('Rhaniad y Ddeiliadaeth (Cymru)'!$D$18="Data Cofrestrfa Tir",'Prisiau Tai (De-ddwyrain)'!F60,'Prisiau Tai (De-ddwyrain)'!X60)</f>
        <v>204258.81036930837</v>
      </c>
      <c r="AF60" s="4">
        <f>IF('Rhaniad y Ddeiliadaeth (Cymru)'!$D$18="Data Cofrestrfa Tir",'Prisiau Tai (De-ddwyrain)'!G60,'Prisiau Tai (De-ddwyrain)'!Y60)</f>
        <v>212224.7341368128</v>
      </c>
      <c r="AG60" s="4">
        <f>IF('Rhaniad y Ddeiliadaeth (Cymru)'!$D$18="Data Cofrestrfa Tir",'Prisiau Tai (De-ddwyrain)'!H60,'Prisiau Tai (De-ddwyrain)'!Z60)</f>
        <v>221027.79995901202</v>
      </c>
    </row>
    <row r="61" spans="2:33" x14ac:dyDescent="0.25">
      <c r="B61" s="20">
        <v>67</v>
      </c>
      <c r="C61" s="56">
        <v>197000</v>
      </c>
      <c r="D61" s="57">
        <f>C61*(1+'Rhaniad y Ddeiliadaeth (De-ddn)'!C$118)</f>
        <v>202595.90030273961</v>
      </c>
      <c r="E61" s="57">
        <f>D61*(1+'Rhaniad y Ddeiliadaeth (De-ddn)'!D$118)</f>
        <v>203046.99116529312</v>
      </c>
      <c r="F61" s="57">
        <f>E61*(1+'Rhaniad y Ddeiliadaeth (De-ddn)'!E$118)</f>
        <v>207417.4517667719</v>
      </c>
      <c r="G61" s="57">
        <f>F61*(1+'Rhaniad y Ddeiliadaeth (De-ddn)'!F$118)</f>
        <v>215506.55992243363</v>
      </c>
      <c r="H61" s="58">
        <f>G61*(1+'Rhaniad y Ddeiliadaeth (De-ddn)'!G$118)</f>
        <v>224445.7556284813</v>
      </c>
      <c r="L61" s="62" t="str">
        <f t="shared" si="0"/>
        <v/>
      </c>
      <c r="M61" s="239"/>
      <c r="N61" s="14">
        <f t="shared" si="3"/>
        <v>1</v>
      </c>
      <c r="T61" s="1">
        <f t="shared" si="1"/>
        <v>67</v>
      </c>
      <c r="U61" s="4" t="str">
        <f t="shared" si="2"/>
        <v/>
      </c>
      <c r="V61" s="4" t="e">
        <f>IF($V$3=$M$3,M61,U61*(1+'Rhaniad y Ddeiliadaeth (Cymru)'!C$118))</f>
        <v>#VALUE!</v>
      </c>
      <c r="W61" s="4" t="e">
        <f>V61*(1+'Rhaniad y Ddeiliadaeth (Cymru)'!D$118)</f>
        <v>#VALUE!</v>
      </c>
      <c r="X61" s="4" t="e">
        <f>W61*(1+'Rhaniad y Ddeiliadaeth (Cymru)'!E$118)</f>
        <v>#VALUE!</v>
      </c>
      <c r="Y61" s="4" t="e">
        <f>X61*(1+'Rhaniad y Ddeiliadaeth (Cymru)'!F$118)</f>
        <v>#VALUE!</v>
      </c>
      <c r="Z61" s="4" t="e">
        <f>Y61*(1+'Rhaniad y Ddeiliadaeth (Cymru)'!G$118)</f>
        <v>#VALUE!</v>
      </c>
      <c r="AB61" s="1">
        <v>67</v>
      </c>
      <c r="AC61" s="4">
        <f>IF('Rhaniad y Ddeiliadaeth (Cymru)'!$D$18="Data Cofrestrfa Tir",'Prisiau Tai (De-ddwyrain)'!D61,'Prisiau Tai (De-ddwyrain)'!V61)</f>
        <v>202595.90030273961</v>
      </c>
      <c r="AD61" s="4">
        <f>IF('Rhaniad y Ddeiliadaeth (Cymru)'!$D$18="Data Cofrestrfa Tir",'Prisiau Tai (De-ddwyrain)'!E61,'Prisiau Tai (De-ddwyrain)'!W61)</f>
        <v>203046.99116529312</v>
      </c>
      <c r="AE61" s="4">
        <f>IF('Rhaniad y Ddeiliadaeth (Cymru)'!$D$18="Data Cofrestrfa Tir",'Prisiau Tai (De-ddwyrain)'!F61,'Prisiau Tai (De-ddwyrain)'!X61)</f>
        <v>207417.4517667719</v>
      </c>
      <c r="AF61" s="4">
        <f>IF('Rhaniad y Ddeiliadaeth (Cymru)'!$D$18="Data Cofrestrfa Tir",'Prisiau Tai (De-ddwyrain)'!G61,'Prisiau Tai (De-ddwyrain)'!Y61)</f>
        <v>215506.55992243363</v>
      </c>
      <c r="AG61" s="4">
        <f>IF('Rhaniad y Ddeiliadaeth (Cymru)'!$D$18="Data Cofrestrfa Tir",'Prisiau Tai (De-ddwyrain)'!H61,'Prisiau Tai (De-ddwyrain)'!Z61)</f>
        <v>224445.7556284813</v>
      </c>
    </row>
    <row r="62" spans="2:33" x14ac:dyDescent="0.25">
      <c r="B62" s="20">
        <v>68</v>
      </c>
      <c r="C62" s="56">
        <v>200000</v>
      </c>
      <c r="D62" s="57">
        <f>C62*(1+'Rhaniad y Ddeiliadaeth (De-ddn)'!C$118)</f>
        <v>205681.1170586189</v>
      </c>
      <c r="E62" s="57">
        <f>D62*(1+'Rhaniad y Ddeiliadaeth (De-ddn)'!D$118)</f>
        <v>206139.07732517069</v>
      </c>
      <c r="F62" s="57">
        <f>E62*(1+'Rhaniad y Ddeiliadaeth (De-ddn)'!E$118)</f>
        <v>210576.09316423544</v>
      </c>
      <c r="G62" s="57">
        <f>F62*(1+'Rhaniad y Ddeiliadaeth (De-ddn)'!F$118)</f>
        <v>218788.38570805444</v>
      </c>
      <c r="H62" s="58">
        <f>G62*(1+'Rhaniad y Ddeiliadaeth (De-ddn)'!G$118)</f>
        <v>227863.71129795056</v>
      </c>
      <c r="L62" s="62" t="str">
        <f t="shared" si="0"/>
        <v/>
      </c>
      <c r="M62" s="239"/>
      <c r="N62" s="14">
        <f t="shared" si="3"/>
        <v>1</v>
      </c>
      <c r="T62" s="1">
        <f t="shared" si="1"/>
        <v>68</v>
      </c>
      <c r="U62" s="4" t="str">
        <f t="shared" si="2"/>
        <v/>
      </c>
      <c r="V62" s="4" t="e">
        <f>IF($V$3=$M$3,M62,U62*(1+'Rhaniad y Ddeiliadaeth (Cymru)'!C$118))</f>
        <v>#VALUE!</v>
      </c>
      <c r="W62" s="4" t="e">
        <f>V62*(1+'Rhaniad y Ddeiliadaeth (Cymru)'!D$118)</f>
        <v>#VALUE!</v>
      </c>
      <c r="X62" s="4" t="e">
        <f>W62*(1+'Rhaniad y Ddeiliadaeth (Cymru)'!E$118)</f>
        <v>#VALUE!</v>
      </c>
      <c r="Y62" s="4" t="e">
        <f>X62*(1+'Rhaniad y Ddeiliadaeth (Cymru)'!F$118)</f>
        <v>#VALUE!</v>
      </c>
      <c r="Z62" s="4" t="e">
        <f>Y62*(1+'Rhaniad y Ddeiliadaeth (Cymru)'!G$118)</f>
        <v>#VALUE!</v>
      </c>
      <c r="AB62" s="1">
        <v>68</v>
      </c>
      <c r="AC62" s="4">
        <f>IF('Rhaniad y Ddeiliadaeth (Cymru)'!$D$18="Data Cofrestrfa Tir",'Prisiau Tai (De-ddwyrain)'!D62,'Prisiau Tai (De-ddwyrain)'!V62)</f>
        <v>205681.1170586189</v>
      </c>
      <c r="AD62" s="4">
        <f>IF('Rhaniad y Ddeiliadaeth (Cymru)'!$D$18="Data Cofrestrfa Tir",'Prisiau Tai (De-ddwyrain)'!E62,'Prisiau Tai (De-ddwyrain)'!W62)</f>
        <v>206139.07732517069</v>
      </c>
      <c r="AE62" s="4">
        <f>IF('Rhaniad y Ddeiliadaeth (Cymru)'!$D$18="Data Cofrestrfa Tir",'Prisiau Tai (De-ddwyrain)'!F62,'Prisiau Tai (De-ddwyrain)'!X62)</f>
        <v>210576.09316423544</v>
      </c>
      <c r="AF62" s="4">
        <f>IF('Rhaniad y Ddeiliadaeth (Cymru)'!$D$18="Data Cofrestrfa Tir",'Prisiau Tai (De-ddwyrain)'!G62,'Prisiau Tai (De-ddwyrain)'!Y62)</f>
        <v>218788.38570805444</v>
      </c>
      <c r="AG62" s="4">
        <f>IF('Rhaniad y Ddeiliadaeth (Cymru)'!$D$18="Data Cofrestrfa Tir",'Prisiau Tai (De-ddwyrain)'!H62,'Prisiau Tai (De-ddwyrain)'!Z62)</f>
        <v>227863.71129795056</v>
      </c>
    </row>
    <row r="63" spans="2:33" x14ac:dyDescent="0.25">
      <c r="B63" s="20">
        <v>69</v>
      </c>
      <c r="C63" s="56">
        <v>204995</v>
      </c>
      <c r="D63" s="57">
        <f>C63*(1+'Rhaniad y Ddeiliadaeth (De-ddn)'!C$118)</f>
        <v>210818.00295715791</v>
      </c>
      <c r="E63" s="57">
        <f>D63*(1+'Rhaniad y Ddeiliadaeth (De-ddn)'!D$118)</f>
        <v>211287.40078136683</v>
      </c>
      <c r="F63" s="57">
        <f>E63*(1+'Rhaniad y Ddeiliadaeth (De-ddn)'!E$118)</f>
        <v>215835.23109101222</v>
      </c>
      <c r="G63" s="57">
        <f>F63*(1+'Rhaniad y Ddeiliadaeth (De-ddn)'!F$118)</f>
        <v>224252.62564111312</v>
      </c>
      <c r="H63" s="58">
        <f>G63*(1+'Rhaniad y Ddeiliadaeth (De-ddn)'!G$118)</f>
        <v>233554.60748761689</v>
      </c>
      <c r="L63" s="62" t="str">
        <f t="shared" si="0"/>
        <v/>
      </c>
      <c r="M63" s="239"/>
      <c r="N63" s="14">
        <f t="shared" si="3"/>
        <v>1</v>
      </c>
      <c r="T63" s="1">
        <f t="shared" si="1"/>
        <v>69</v>
      </c>
      <c r="U63" s="4" t="str">
        <f t="shared" si="2"/>
        <v/>
      </c>
      <c r="V63" s="4" t="e">
        <f>IF($V$3=$M$3,M63,U63*(1+'Rhaniad y Ddeiliadaeth (Cymru)'!C$118))</f>
        <v>#VALUE!</v>
      </c>
      <c r="W63" s="4" t="e">
        <f>V63*(1+'Rhaniad y Ddeiliadaeth (Cymru)'!D$118)</f>
        <v>#VALUE!</v>
      </c>
      <c r="X63" s="4" t="e">
        <f>W63*(1+'Rhaniad y Ddeiliadaeth (Cymru)'!E$118)</f>
        <v>#VALUE!</v>
      </c>
      <c r="Y63" s="4" t="e">
        <f>X63*(1+'Rhaniad y Ddeiliadaeth (Cymru)'!F$118)</f>
        <v>#VALUE!</v>
      </c>
      <c r="Z63" s="4" t="e">
        <f>Y63*(1+'Rhaniad y Ddeiliadaeth (Cymru)'!G$118)</f>
        <v>#VALUE!</v>
      </c>
      <c r="AB63" s="1">
        <v>69</v>
      </c>
      <c r="AC63" s="4">
        <f>IF('Rhaniad y Ddeiliadaeth (Cymru)'!$D$18="Data Cofrestrfa Tir",'Prisiau Tai (De-ddwyrain)'!D63,'Prisiau Tai (De-ddwyrain)'!V63)</f>
        <v>210818.00295715791</v>
      </c>
      <c r="AD63" s="4">
        <f>IF('Rhaniad y Ddeiliadaeth (Cymru)'!$D$18="Data Cofrestrfa Tir",'Prisiau Tai (De-ddwyrain)'!E63,'Prisiau Tai (De-ddwyrain)'!W63)</f>
        <v>211287.40078136683</v>
      </c>
      <c r="AE63" s="4">
        <f>IF('Rhaniad y Ddeiliadaeth (Cymru)'!$D$18="Data Cofrestrfa Tir",'Prisiau Tai (De-ddwyrain)'!F63,'Prisiau Tai (De-ddwyrain)'!X63)</f>
        <v>215835.23109101222</v>
      </c>
      <c r="AF63" s="4">
        <f>IF('Rhaniad y Ddeiliadaeth (Cymru)'!$D$18="Data Cofrestrfa Tir",'Prisiau Tai (De-ddwyrain)'!G63,'Prisiau Tai (De-ddwyrain)'!Y63)</f>
        <v>224252.62564111312</v>
      </c>
      <c r="AG63" s="4">
        <f>IF('Rhaniad y Ddeiliadaeth (Cymru)'!$D$18="Data Cofrestrfa Tir",'Prisiau Tai (De-ddwyrain)'!H63,'Prisiau Tai (De-ddwyrain)'!Z63)</f>
        <v>233554.60748761689</v>
      </c>
    </row>
    <row r="64" spans="2:33" x14ac:dyDescent="0.25">
      <c r="B64" s="20">
        <v>70</v>
      </c>
      <c r="C64" s="56">
        <v>208000</v>
      </c>
      <c r="D64" s="57">
        <f>C64*(1+'Rhaniad y Ddeiliadaeth (De-ddn)'!C$118)</f>
        <v>213908.36174096365</v>
      </c>
      <c r="E64" s="57">
        <f>D64*(1+'Rhaniad y Ddeiliadaeth (De-ddn)'!D$118)</f>
        <v>214384.6404181775</v>
      </c>
      <c r="F64" s="57">
        <f>E64*(1+'Rhaniad y Ddeiliadaeth (De-ddn)'!E$118)</f>
        <v>218999.13689080483</v>
      </c>
      <c r="G64" s="57">
        <f>F64*(1+'Rhaniad y Ddeiliadaeth (De-ddn)'!F$118)</f>
        <v>227539.92113637659</v>
      </c>
      <c r="H64" s="58">
        <f>G64*(1+'Rhaniad y Ddeiliadaeth (De-ddn)'!G$118)</f>
        <v>236978.25974986856</v>
      </c>
      <c r="L64" s="62" t="str">
        <f t="shared" si="0"/>
        <v/>
      </c>
      <c r="M64" s="239"/>
      <c r="N64" s="14">
        <f t="shared" si="3"/>
        <v>1</v>
      </c>
      <c r="T64" s="1">
        <f t="shared" si="1"/>
        <v>70</v>
      </c>
      <c r="U64" s="4" t="str">
        <f t="shared" si="2"/>
        <v/>
      </c>
      <c r="V64" s="4" t="e">
        <f>IF($V$3=$M$3,M64,U64*(1+'Rhaniad y Ddeiliadaeth (Cymru)'!C$118))</f>
        <v>#VALUE!</v>
      </c>
      <c r="W64" s="4" t="e">
        <f>V64*(1+'Rhaniad y Ddeiliadaeth (Cymru)'!D$118)</f>
        <v>#VALUE!</v>
      </c>
      <c r="X64" s="4" t="e">
        <f>W64*(1+'Rhaniad y Ddeiliadaeth (Cymru)'!E$118)</f>
        <v>#VALUE!</v>
      </c>
      <c r="Y64" s="4" t="e">
        <f>X64*(1+'Rhaniad y Ddeiliadaeth (Cymru)'!F$118)</f>
        <v>#VALUE!</v>
      </c>
      <c r="Z64" s="4" t="e">
        <f>Y64*(1+'Rhaniad y Ddeiliadaeth (Cymru)'!G$118)</f>
        <v>#VALUE!</v>
      </c>
      <c r="AB64" s="1">
        <v>70</v>
      </c>
      <c r="AC64" s="4">
        <f>IF('Rhaniad y Ddeiliadaeth (Cymru)'!$D$18="Data Cofrestrfa Tir",'Prisiau Tai (De-ddwyrain)'!D64,'Prisiau Tai (De-ddwyrain)'!V64)</f>
        <v>213908.36174096365</v>
      </c>
      <c r="AD64" s="4">
        <f>IF('Rhaniad y Ddeiliadaeth (Cymru)'!$D$18="Data Cofrestrfa Tir",'Prisiau Tai (De-ddwyrain)'!E64,'Prisiau Tai (De-ddwyrain)'!W64)</f>
        <v>214384.6404181775</v>
      </c>
      <c r="AE64" s="4">
        <f>IF('Rhaniad y Ddeiliadaeth (Cymru)'!$D$18="Data Cofrestrfa Tir",'Prisiau Tai (De-ddwyrain)'!F64,'Prisiau Tai (De-ddwyrain)'!X64)</f>
        <v>218999.13689080483</v>
      </c>
      <c r="AF64" s="4">
        <f>IF('Rhaniad y Ddeiliadaeth (Cymru)'!$D$18="Data Cofrestrfa Tir",'Prisiau Tai (De-ddwyrain)'!G64,'Prisiau Tai (De-ddwyrain)'!Y64)</f>
        <v>227539.92113637659</v>
      </c>
      <c r="AG64" s="4">
        <f>IF('Rhaniad y Ddeiliadaeth (Cymru)'!$D$18="Data Cofrestrfa Tir",'Prisiau Tai (De-ddwyrain)'!H64,'Prisiau Tai (De-ddwyrain)'!Z64)</f>
        <v>236978.25974986856</v>
      </c>
    </row>
    <row r="65" spans="2:33" x14ac:dyDescent="0.25">
      <c r="B65" s="20">
        <v>71</v>
      </c>
      <c r="C65" s="56">
        <v>210000</v>
      </c>
      <c r="D65" s="57">
        <f>C65*(1+'Rhaniad y Ddeiliadaeth (De-ddn)'!C$118)</f>
        <v>215965.17291154983</v>
      </c>
      <c r="E65" s="57">
        <f>D65*(1+'Rhaniad y Ddeiliadaeth (De-ddn)'!D$118)</f>
        <v>216446.03119142921</v>
      </c>
      <c r="F65" s="57">
        <f>E65*(1+'Rhaniad y Ddeiliadaeth (De-ddn)'!E$118)</f>
        <v>221104.89782244721</v>
      </c>
      <c r="G65" s="57">
        <f>F65*(1+'Rhaniad y Ddeiliadaeth (De-ddn)'!F$118)</f>
        <v>229727.80499345716</v>
      </c>
      <c r="H65" s="58">
        <f>G65*(1+'Rhaniad y Ddeiliadaeth (De-ddn)'!G$118)</f>
        <v>239256.89686284808</v>
      </c>
      <c r="L65" s="62" t="str">
        <f t="shared" si="0"/>
        <v/>
      </c>
      <c r="M65" s="239"/>
      <c r="N65" s="14">
        <f t="shared" si="3"/>
        <v>1</v>
      </c>
      <c r="T65" s="1">
        <f t="shared" si="1"/>
        <v>71</v>
      </c>
      <c r="U65" s="4" t="str">
        <f t="shared" si="2"/>
        <v/>
      </c>
      <c r="V65" s="4" t="e">
        <f>IF($V$3=$M$3,M65,U65*(1+'Rhaniad y Ddeiliadaeth (Cymru)'!C$118))</f>
        <v>#VALUE!</v>
      </c>
      <c r="W65" s="4" t="e">
        <f>V65*(1+'Rhaniad y Ddeiliadaeth (Cymru)'!D$118)</f>
        <v>#VALUE!</v>
      </c>
      <c r="X65" s="4" t="e">
        <f>W65*(1+'Rhaniad y Ddeiliadaeth (Cymru)'!E$118)</f>
        <v>#VALUE!</v>
      </c>
      <c r="Y65" s="4" t="e">
        <f>X65*(1+'Rhaniad y Ddeiliadaeth (Cymru)'!F$118)</f>
        <v>#VALUE!</v>
      </c>
      <c r="Z65" s="4" t="e">
        <f>Y65*(1+'Rhaniad y Ddeiliadaeth (Cymru)'!G$118)</f>
        <v>#VALUE!</v>
      </c>
      <c r="AB65" s="1">
        <v>71</v>
      </c>
      <c r="AC65" s="4">
        <f>IF('Rhaniad y Ddeiliadaeth (Cymru)'!$D$18="Data Cofrestrfa Tir",'Prisiau Tai (De-ddwyrain)'!D65,'Prisiau Tai (De-ddwyrain)'!V65)</f>
        <v>215965.17291154983</v>
      </c>
      <c r="AD65" s="4">
        <f>IF('Rhaniad y Ddeiliadaeth (Cymru)'!$D$18="Data Cofrestrfa Tir",'Prisiau Tai (De-ddwyrain)'!E65,'Prisiau Tai (De-ddwyrain)'!W65)</f>
        <v>216446.03119142921</v>
      </c>
      <c r="AE65" s="4">
        <f>IF('Rhaniad y Ddeiliadaeth (Cymru)'!$D$18="Data Cofrestrfa Tir",'Prisiau Tai (De-ddwyrain)'!F65,'Prisiau Tai (De-ddwyrain)'!X65)</f>
        <v>221104.89782244721</v>
      </c>
      <c r="AF65" s="4">
        <f>IF('Rhaniad y Ddeiliadaeth (Cymru)'!$D$18="Data Cofrestrfa Tir",'Prisiau Tai (De-ddwyrain)'!G65,'Prisiau Tai (De-ddwyrain)'!Y65)</f>
        <v>229727.80499345716</v>
      </c>
      <c r="AG65" s="4">
        <f>IF('Rhaniad y Ddeiliadaeth (Cymru)'!$D$18="Data Cofrestrfa Tir",'Prisiau Tai (De-ddwyrain)'!H65,'Prisiau Tai (De-ddwyrain)'!Z65)</f>
        <v>239256.89686284808</v>
      </c>
    </row>
    <row r="66" spans="2:33" x14ac:dyDescent="0.25">
      <c r="B66" s="20">
        <v>72</v>
      </c>
      <c r="C66" s="56">
        <v>215000</v>
      </c>
      <c r="D66" s="57">
        <f>C66*(1+'Rhaniad y Ddeiliadaeth (De-ddn)'!C$118)</f>
        <v>221107.2008380153</v>
      </c>
      <c r="E66" s="57">
        <f>D66*(1+'Rhaniad y Ddeiliadaeth (De-ddn)'!D$118)</f>
        <v>221599.50812455846</v>
      </c>
      <c r="F66" s="57">
        <f>E66*(1+'Rhaniad y Ddeiliadaeth (De-ddn)'!E$118)</f>
        <v>226369.30015155306</v>
      </c>
      <c r="G66" s="57">
        <f>F66*(1+'Rhaniad y Ddeiliadaeth (De-ddn)'!F$118)</f>
        <v>235197.51463615851</v>
      </c>
      <c r="H66" s="58">
        <f>G66*(1+'Rhaniad y Ddeiliadaeth (De-ddn)'!G$118)</f>
        <v>244953.48964529682</v>
      </c>
      <c r="L66" s="62" t="str">
        <f t="shared" si="0"/>
        <v/>
      </c>
      <c r="M66" s="239"/>
      <c r="N66" s="14">
        <f t="shared" si="3"/>
        <v>1</v>
      </c>
      <c r="T66" s="1">
        <f t="shared" si="1"/>
        <v>72</v>
      </c>
      <c r="U66" s="4" t="str">
        <f t="shared" si="2"/>
        <v/>
      </c>
      <c r="V66" s="4" t="e">
        <f>IF($V$3=$M$3,M66,U66*(1+'Rhaniad y Ddeiliadaeth (Cymru)'!C$118))</f>
        <v>#VALUE!</v>
      </c>
      <c r="W66" s="4" t="e">
        <f>V66*(1+'Rhaniad y Ddeiliadaeth (Cymru)'!D$118)</f>
        <v>#VALUE!</v>
      </c>
      <c r="X66" s="4" t="e">
        <f>W66*(1+'Rhaniad y Ddeiliadaeth (Cymru)'!E$118)</f>
        <v>#VALUE!</v>
      </c>
      <c r="Y66" s="4" t="e">
        <f>X66*(1+'Rhaniad y Ddeiliadaeth (Cymru)'!F$118)</f>
        <v>#VALUE!</v>
      </c>
      <c r="Z66" s="4" t="e">
        <f>Y66*(1+'Rhaniad y Ddeiliadaeth (Cymru)'!G$118)</f>
        <v>#VALUE!</v>
      </c>
      <c r="AB66" s="1">
        <v>72</v>
      </c>
      <c r="AC66" s="4">
        <f>IF('Rhaniad y Ddeiliadaeth (Cymru)'!$D$18="Data Cofrestrfa Tir",'Prisiau Tai (De-ddwyrain)'!D66,'Prisiau Tai (De-ddwyrain)'!V66)</f>
        <v>221107.2008380153</v>
      </c>
      <c r="AD66" s="4">
        <f>IF('Rhaniad y Ddeiliadaeth (Cymru)'!$D$18="Data Cofrestrfa Tir",'Prisiau Tai (De-ddwyrain)'!E66,'Prisiau Tai (De-ddwyrain)'!W66)</f>
        <v>221599.50812455846</v>
      </c>
      <c r="AE66" s="4">
        <f>IF('Rhaniad y Ddeiliadaeth (Cymru)'!$D$18="Data Cofrestrfa Tir",'Prisiau Tai (De-ddwyrain)'!F66,'Prisiau Tai (De-ddwyrain)'!X66)</f>
        <v>226369.30015155306</v>
      </c>
      <c r="AF66" s="4">
        <f>IF('Rhaniad y Ddeiliadaeth (Cymru)'!$D$18="Data Cofrestrfa Tir",'Prisiau Tai (De-ddwyrain)'!G66,'Prisiau Tai (De-ddwyrain)'!Y66)</f>
        <v>235197.51463615851</v>
      </c>
      <c r="AG66" s="4">
        <f>IF('Rhaniad y Ddeiliadaeth (Cymru)'!$D$18="Data Cofrestrfa Tir",'Prisiau Tai (De-ddwyrain)'!H66,'Prisiau Tai (De-ddwyrain)'!Z66)</f>
        <v>244953.48964529682</v>
      </c>
    </row>
    <row r="67" spans="2:33" x14ac:dyDescent="0.25">
      <c r="B67" s="20">
        <v>73</v>
      </c>
      <c r="C67" s="56">
        <v>219995</v>
      </c>
      <c r="D67" s="57">
        <f>C67*(1+'Rhaniad y Ddeiliadaeth (De-ddn)'!C$118)</f>
        <v>226244.08673655431</v>
      </c>
      <c r="E67" s="57">
        <f>D67*(1+'Rhaniad y Ddeiliadaeth (De-ddn)'!D$118)</f>
        <v>226747.8315807546</v>
      </c>
      <c r="F67" s="57">
        <f>E67*(1+'Rhaniad y Ddeiliadaeth (De-ddn)'!E$118)</f>
        <v>231628.43807832984</v>
      </c>
      <c r="G67" s="57">
        <f>F67*(1+'Rhaniad y Ddeiliadaeth (De-ddn)'!F$118)</f>
        <v>240661.75456921716</v>
      </c>
      <c r="H67" s="58">
        <f>G67*(1+'Rhaniad y Ddeiliadaeth (De-ddn)'!G$118)</f>
        <v>250644.38583496312</v>
      </c>
      <c r="L67" s="62" t="str">
        <f t="shared" si="0"/>
        <v/>
      </c>
      <c r="M67" s="239"/>
      <c r="N67" s="14">
        <f t="shared" si="3"/>
        <v>1</v>
      </c>
      <c r="T67" s="1">
        <f t="shared" si="1"/>
        <v>73</v>
      </c>
      <c r="U67" s="4" t="str">
        <f t="shared" si="2"/>
        <v/>
      </c>
      <c r="V67" s="4" t="e">
        <f>IF($V$3=$M$3,M67,U67*(1+'Rhaniad y Ddeiliadaeth (Cymru)'!C$118))</f>
        <v>#VALUE!</v>
      </c>
      <c r="W67" s="4" t="e">
        <f>V67*(1+'Rhaniad y Ddeiliadaeth (Cymru)'!D$118)</f>
        <v>#VALUE!</v>
      </c>
      <c r="X67" s="4" t="e">
        <f>W67*(1+'Rhaniad y Ddeiliadaeth (Cymru)'!E$118)</f>
        <v>#VALUE!</v>
      </c>
      <c r="Y67" s="4" t="e">
        <f>X67*(1+'Rhaniad y Ddeiliadaeth (Cymru)'!F$118)</f>
        <v>#VALUE!</v>
      </c>
      <c r="Z67" s="4" t="e">
        <f>Y67*(1+'Rhaniad y Ddeiliadaeth (Cymru)'!G$118)</f>
        <v>#VALUE!</v>
      </c>
      <c r="AB67" s="1">
        <v>73</v>
      </c>
      <c r="AC67" s="4">
        <f>IF('Rhaniad y Ddeiliadaeth (Cymru)'!$D$18="Data Cofrestrfa Tir",'Prisiau Tai (De-ddwyrain)'!D67,'Prisiau Tai (De-ddwyrain)'!V67)</f>
        <v>226244.08673655431</v>
      </c>
      <c r="AD67" s="4">
        <f>IF('Rhaniad y Ddeiliadaeth (Cymru)'!$D$18="Data Cofrestrfa Tir",'Prisiau Tai (De-ddwyrain)'!E67,'Prisiau Tai (De-ddwyrain)'!W67)</f>
        <v>226747.8315807546</v>
      </c>
      <c r="AE67" s="4">
        <f>IF('Rhaniad y Ddeiliadaeth (Cymru)'!$D$18="Data Cofrestrfa Tir",'Prisiau Tai (De-ddwyrain)'!F67,'Prisiau Tai (De-ddwyrain)'!X67)</f>
        <v>231628.43807832984</v>
      </c>
      <c r="AF67" s="4">
        <f>IF('Rhaniad y Ddeiliadaeth (Cymru)'!$D$18="Data Cofrestrfa Tir",'Prisiau Tai (De-ddwyrain)'!G67,'Prisiau Tai (De-ddwyrain)'!Y67)</f>
        <v>240661.75456921716</v>
      </c>
      <c r="AG67" s="4">
        <f>IF('Rhaniad y Ddeiliadaeth (Cymru)'!$D$18="Data Cofrestrfa Tir",'Prisiau Tai (De-ddwyrain)'!H67,'Prisiau Tai (De-ddwyrain)'!Z67)</f>
        <v>250644.38583496312</v>
      </c>
    </row>
    <row r="68" spans="2:33" x14ac:dyDescent="0.25">
      <c r="B68" s="20">
        <v>74</v>
      </c>
      <c r="C68" s="56">
        <v>223250</v>
      </c>
      <c r="D68" s="57">
        <f>C68*(1+'Rhaniad y Ddeiliadaeth (De-ddn)'!C$118)</f>
        <v>229591.54691668335</v>
      </c>
      <c r="E68" s="57">
        <f>D68*(1+'Rhaniad y Ddeiliadaeth (De-ddn)'!D$118)</f>
        <v>230102.74506422179</v>
      </c>
      <c r="F68" s="57">
        <f>E68*(1+'Rhaniad y Ddeiliadaeth (De-ddn)'!E$118)</f>
        <v>235055.56399457782</v>
      </c>
      <c r="G68" s="57">
        <f>F68*(1+'Rhaniad y Ddeiliadaeth (De-ddn)'!F$118)</f>
        <v>244222.53554661581</v>
      </c>
      <c r="H68" s="58">
        <f>G68*(1+'Rhaniad y Ddeiliadaeth (De-ddn)'!G$118)</f>
        <v>254352.86773633736</v>
      </c>
      <c r="L68" s="62" t="str">
        <f t="shared" ref="L68:L84" si="4">IF(ISBLANK($K$4),"",B68)</f>
        <v/>
      </c>
      <c r="M68" s="239"/>
      <c r="N68" s="14">
        <f t="shared" si="3"/>
        <v>1</v>
      </c>
      <c r="T68" s="1">
        <f t="shared" ref="T68:T84" si="5">B68</f>
        <v>74</v>
      </c>
      <c r="U68" s="4" t="str">
        <f t="shared" ref="U68:U84" si="6">IF($M$3=$U$3,M68,"")</f>
        <v/>
      </c>
      <c r="V68" s="4" t="e">
        <f>IF($V$3=$M$3,M68,U68*(1+'Rhaniad y Ddeiliadaeth (Cymru)'!C$118))</f>
        <v>#VALUE!</v>
      </c>
      <c r="W68" s="4" t="e">
        <f>V68*(1+'Rhaniad y Ddeiliadaeth (Cymru)'!D$118)</f>
        <v>#VALUE!</v>
      </c>
      <c r="X68" s="4" t="e">
        <f>W68*(1+'Rhaniad y Ddeiliadaeth (Cymru)'!E$118)</f>
        <v>#VALUE!</v>
      </c>
      <c r="Y68" s="4" t="e">
        <f>X68*(1+'Rhaniad y Ddeiliadaeth (Cymru)'!F$118)</f>
        <v>#VALUE!</v>
      </c>
      <c r="Z68" s="4" t="e">
        <f>Y68*(1+'Rhaniad y Ddeiliadaeth (Cymru)'!G$118)</f>
        <v>#VALUE!</v>
      </c>
      <c r="AB68" s="1">
        <v>74</v>
      </c>
      <c r="AC68" s="4">
        <f>IF('Rhaniad y Ddeiliadaeth (Cymru)'!$D$18="Data Cofrestrfa Tir",'Prisiau Tai (De-ddwyrain)'!D68,'Prisiau Tai (De-ddwyrain)'!V68)</f>
        <v>229591.54691668335</v>
      </c>
      <c r="AD68" s="4">
        <f>IF('Rhaniad y Ddeiliadaeth (Cymru)'!$D$18="Data Cofrestrfa Tir",'Prisiau Tai (De-ddwyrain)'!E68,'Prisiau Tai (De-ddwyrain)'!W68)</f>
        <v>230102.74506422179</v>
      </c>
      <c r="AE68" s="4">
        <f>IF('Rhaniad y Ddeiliadaeth (Cymru)'!$D$18="Data Cofrestrfa Tir",'Prisiau Tai (De-ddwyrain)'!F68,'Prisiau Tai (De-ddwyrain)'!X68)</f>
        <v>235055.56399457782</v>
      </c>
      <c r="AF68" s="4">
        <f>IF('Rhaniad y Ddeiliadaeth (Cymru)'!$D$18="Data Cofrestrfa Tir",'Prisiau Tai (De-ddwyrain)'!G68,'Prisiau Tai (De-ddwyrain)'!Y68)</f>
        <v>244222.53554661581</v>
      </c>
      <c r="AG68" s="4">
        <f>IF('Rhaniad y Ddeiliadaeth (Cymru)'!$D$18="Data Cofrestrfa Tir",'Prisiau Tai (De-ddwyrain)'!H68,'Prisiau Tai (De-ddwyrain)'!Z68)</f>
        <v>254352.86773633736</v>
      </c>
    </row>
    <row r="69" spans="2:33" x14ac:dyDescent="0.25">
      <c r="B69" s="20">
        <v>75</v>
      </c>
      <c r="C69" s="56">
        <v>226995</v>
      </c>
      <c r="D69" s="57">
        <f>C69*(1+'Rhaniad y Ddeiliadaeth (De-ddn)'!C$118)</f>
        <v>233442.92583360599</v>
      </c>
      <c r="E69" s="57">
        <f>D69*(1+'Rhaniad y Ddeiliadaeth (De-ddn)'!D$118)</f>
        <v>233962.69928713559</v>
      </c>
      <c r="F69" s="57">
        <f>E69*(1+'Rhaniad y Ddeiliadaeth (De-ddn)'!E$118)</f>
        <v>238998.6013390781</v>
      </c>
      <c r="G69" s="57">
        <f>F69*(1+'Rhaniad y Ddeiliadaeth (De-ddn)'!F$118)</f>
        <v>248319.34806899907</v>
      </c>
      <c r="H69" s="58">
        <f>G69*(1+'Rhaniad y Ddeiliadaeth (De-ddn)'!G$118)</f>
        <v>258619.61573039141</v>
      </c>
      <c r="L69" s="62" t="str">
        <f t="shared" si="4"/>
        <v/>
      </c>
      <c r="M69" s="239"/>
      <c r="N69" s="14">
        <f t="shared" ref="N69:N84" si="7">IF(ISBLANK(M69),1,0)</f>
        <v>1</v>
      </c>
      <c r="T69" s="1">
        <f t="shared" si="5"/>
        <v>75</v>
      </c>
      <c r="U69" s="4" t="str">
        <f t="shared" si="6"/>
        <v/>
      </c>
      <c r="V69" s="4" t="e">
        <f>IF($V$3=$M$3,M69,U69*(1+'Rhaniad y Ddeiliadaeth (Cymru)'!C$118))</f>
        <v>#VALUE!</v>
      </c>
      <c r="W69" s="4" t="e">
        <f>V69*(1+'Rhaniad y Ddeiliadaeth (Cymru)'!D$118)</f>
        <v>#VALUE!</v>
      </c>
      <c r="X69" s="4" t="e">
        <f>W69*(1+'Rhaniad y Ddeiliadaeth (Cymru)'!E$118)</f>
        <v>#VALUE!</v>
      </c>
      <c r="Y69" s="4" t="e">
        <f>X69*(1+'Rhaniad y Ddeiliadaeth (Cymru)'!F$118)</f>
        <v>#VALUE!</v>
      </c>
      <c r="Z69" s="4" t="e">
        <f>Y69*(1+'Rhaniad y Ddeiliadaeth (Cymru)'!G$118)</f>
        <v>#VALUE!</v>
      </c>
      <c r="AB69" s="1">
        <v>75</v>
      </c>
      <c r="AC69" s="4">
        <f>IF('Rhaniad y Ddeiliadaeth (Cymru)'!$D$18="Data Cofrestrfa Tir",'Prisiau Tai (De-ddwyrain)'!D69,'Prisiau Tai (De-ddwyrain)'!V69)</f>
        <v>233442.92583360599</v>
      </c>
      <c r="AD69" s="4">
        <f>IF('Rhaniad y Ddeiliadaeth (Cymru)'!$D$18="Data Cofrestrfa Tir",'Prisiau Tai (De-ddwyrain)'!E69,'Prisiau Tai (De-ddwyrain)'!W69)</f>
        <v>233962.69928713559</v>
      </c>
      <c r="AE69" s="4">
        <f>IF('Rhaniad y Ddeiliadaeth (Cymru)'!$D$18="Data Cofrestrfa Tir",'Prisiau Tai (De-ddwyrain)'!F69,'Prisiau Tai (De-ddwyrain)'!X69)</f>
        <v>238998.6013390781</v>
      </c>
      <c r="AF69" s="4">
        <f>IF('Rhaniad y Ddeiliadaeth (Cymru)'!$D$18="Data Cofrestrfa Tir",'Prisiau Tai (De-ddwyrain)'!G69,'Prisiau Tai (De-ddwyrain)'!Y69)</f>
        <v>248319.34806899907</v>
      </c>
      <c r="AG69" s="4">
        <f>IF('Rhaniad y Ddeiliadaeth (Cymru)'!$D$18="Data Cofrestrfa Tir",'Prisiau Tai (De-ddwyrain)'!H69,'Prisiau Tai (De-ddwyrain)'!Z69)</f>
        <v>258619.61573039141</v>
      </c>
    </row>
    <row r="70" spans="2:33" x14ac:dyDescent="0.25">
      <c r="B70" s="20">
        <v>76</v>
      </c>
      <c r="C70" s="56">
        <v>230000</v>
      </c>
      <c r="D70" s="57">
        <f>C70*(1+'Rhaniad y Ddeiliadaeth (De-ddn)'!C$118)</f>
        <v>236533.28461741173</v>
      </c>
      <c r="E70" s="57">
        <f>D70*(1+'Rhaniad y Ddeiliadaeth (De-ddn)'!D$118)</f>
        <v>237059.93892394629</v>
      </c>
      <c r="F70" s="57">
        <f>E70*(1+'Rhaniad y Ddeiliadaeth (De-ddn)'!E$118)</f>
        <v>242162.50713887074</v>
      </c>
      <c r="G70" s="57">
        <f>F70*(1+'Rhaniad y Ddeiliadaeth (De-ddn)'!F$118)</f>
        <v>251606.6435642626</v>
      </c>
      <c r="H70" s="58">
        <f>G70*(1+'Rhaniad y Ddeiliadaeth (De-ddn)'!G$118)</f>
        <v>262043.26799264314</v>
      </c>
      <c r="L70" s="62" t="str">
        <f t="shared" si="4"/>
        <v/>
      </c>
      <c r="M70" s="239"/>
      <c r="N70" s="14">
        <f t="shared" si="7"/>
        <v>1</v>
      </c>
      <c r="T70" s="1">
        <f t="shared" si="5"/>
        <v>76</v>
      </c>
      <c r="U70" s="4" t="str">
        <f t="shared" si="6"/>
        <v/>
      </c>
      <c r="V70" s="4" t="e">
        <f>IF($V$3=$M$3,M70,U70*(1+'Rhaniad y Ddeiliadaeth (Cymru)'!C$118))</f>
        <v>#VALUE!</v>
      </c>
      <c r="W70" s="4" t="e">
        <f>V70*(1+'Rhaniad y Ddeiliadaeth (Cymru)'!D$118)</f>
        <v>#VALUE!</v>
      </c>
      <c r="X70" s="4" t="e">
        <f>W70*(1+'Rhaniad y Ddeiliadaeth (Cymru)'!E$118)</f>
        <v>#VALUE!</v>
      </c>
      <c r="Y70" s="4" t="e">
        <f>X70*(1+'Rhaniad y Ddeiliadaeth (Cymru)'!F$118)</f>
        <v>#VALUE!</v>
      </c>
      <c r="Z70" s="4" t="e">
        <f>Y70*(1+'Rhaniad y Ddeiliadaeth (Cymru)'!G$118)</f>
        <v>#VALUE!</v>
      </c>
      <c r="AB70" s="1">
        <v>76</v>
      </c>
      <c r="AC70" s="4">
        <f>IF('Rhaniad y Ddeiliadaeth (Cymru)'!$D$18="Data Cofrestrfa Tir",'Prisiau Tai (De-ddwyrain)'!D70,'Prisiau Tai (De-ddwyrain)'!V70)</f>
        <v>236533.28461741173</v>
      </c>
      <c r="AD70" s="4">
        <f>IF('Rhaniad y Ddeiliadaeth (Cymru)'!$D$18="Data Cofrestrfa Tir",'Prisiau Tai (De-ddwyrain)'!E70,'Prisiau Tai (De-ddwyrain)'!W70)</f>
        <v>237059.93892394629</v>
      </c>
      <c r="AE70" s="4">
        <f>IF('Rhaniad y Ddeiliadaeth (Cymru)'!$D$18="Data Cofrestrfa Tir",'Prisiau Tai (De-ddwyrain)'!F70,'Prisiau Tai (De-ddwyrain)'!X70)</f>
        <v>242162.50713887074</v>
      </c>
      <c r="AF70" s="4">
        <f>IF('Rhaniad y Ddeiliadaeth (Cymru)'!$D$18="Data Cofrestrfa Tir",'Prisiau Tai (De-ddwyrain)'!G70,'Prisiau Tai (De-ddwyrain)'!Y70)</f>
        <v>251606.6435642626</v>
      </c>
      <c r="AG70" s="4">
        <f>IF('Rhaniad y Ddeiliadaeth (Cymru)'!$D$18="Data Cofrestrfa Tir",'Prisiau Tai (De-ddwyrain)'!H70,'Prisiau Tai (De-ddwyrain)'!Z70)</f>
        <v>262043.26799264314</v>
      </c>
    </row>
    <row r="71" spans="2:33" x14ac:dyDescent="0.25">
      <c r="B71" s="20">
        <v>77</v>
      </c>
      <c r="C71" s="56">
        <v>235000</v>
      </c>
      <c r="D71" s="57">
        <f>C71*(1+'Rhaniad y Ddeiliadaeth (De-ddn)'!C$118)</f>
        <v>241675.3125438772</v>
      </c>
      <c r="E71" s="57">
        <f>D71*(1+'Rhaniad y Ddeiliadaeth (De-ddn)'!D$118)</f>
        <v>242213.41585707554</v>
      </c>
      <c r="F71" s="57">
        <f>E71*(1+'Rhaniad y Ddeiliadaeth (De-ddn)'!E$118)</f>
        <v>247426.90946797663</v>
      </c>
      <c r="G71" s="57">
        <f>F71*(1+'Rhaniad y Ddeiliadaeth (De-ddn)'!F$118)</f>
        <v>257076.35320696398</v>
      </c>
      <c r="H71" s="58">
        <f>G71*(1+'Rhaniad y Ddeiliadaeth (De-ddn)'!G$118)</f>
        <v>267739.86077509192</v>
      </c>
      <c r="L71" s="62" t="str">
        <f t="shared" si="4"/>
        <v/>
      </c>
      <c r="M71" s="239"/>
      <c r="N71" s="14">
        <f t="shared" si="7"/>
        <v>1</v>
      </c>
      <c r="T71" s="1">
        <f t="shared" si="5"/>
        <v>77</v>
      </c>
      <c r="U71" s="4" t="str">
        <f t="shared" si="6"/>
        <v/>
      </c>
      <c r="V71" s="4" t="e">
        <f>IF($V$3=$M$3,M71,U71*(1+'Rhaniad y Ddeiliadaeth (Cymru)'!C$118))</f>
        <v>#VALUE!</v>
      </c>
      <c r="W71" s="4" t="e">
        <f>V71*(1+'Rhaniad y Ddeiliadaeth (Cymru)'!D$118)</f>
        <v>#VALUE!</v>
      </c>
      <c r="X71" s="4" t="e">
        <f>W71*(1+'Rhaniad y Ddeiliadaeth (Cymru)'!E$118)</f>
        <v>#VALUE!</v>
      </c>
      <c r="Y71" s="4" t="e">
        <f>X71*(1+'Rhaniad y Ddeiliadaeth (Cymru)'!F$118)</f>
        <v>#VALUE!</v>
      </c>
      <c r="Z71" s="4" t="e">
        <f>Y71*(1+'Rhaniad y Ddeiliadaeth (Cymru)'!G$118)</f>
        <v>#VALUE!</v>
      </c>
      <c r="AB71" s="1">
        <v>77</v>
      </c>
      <c r="AC71" s="4">
        <f>IF('Rhaniad y Ddeiliadaeth (Cymru)'!$D$18="Data Cofrestrfa Tir",'Prisiau Tai (De-ddwyrain)'!D71,'Prisiau Tai (De-ddwyrain)'!V71)</f>
        <v>241675.3125438772</v>
      </c>
      <c r="AD71" s="4">
        <f>IF('Rhaniad y Ddeiliadaeth (Cymru)'!$D$18="Data Cofrestrfa Tir",'Prisiau Tai (De-ddwyrain)'!E71,'Prisiau Tai (De-ddwyrain)'!W71)</f>
        <v>242213.41585707554</v>
      </c>
      <c r="AE71" s="4">
        <f>IF('Rhaniad y Ddeiliadaeth (Cymru)'!$D$18="Data Cofrestrfa Tir",'Prisiau Tai (De-ddwyrain)'!F71,'Prisiau Tai (De-ddwyrain)'!X71)</f>
        <v>247426.90946797663</v>
      </c>
      <c r="AF71" s="4">
        <f>IF('Rhaniad y Ddeiliadaeth (Cymru)'!$D$18="Data Cofrestrfa Tir",'Prisiau Tai (De-ddwyrain)'!G71,'Prisiau Tai (De-ddwyrain)'!Y71)</f>
        <v>257076.35320696398</v>
      </c>
      <c r="AG71" s="4">
        <f>IF('Rhaniad y Ddeiliadaeth (Cymru)'!$D$18="Data Cofrestrfa Tir",'Prisiau Tai (De-ddwyrain)'!H71,'Prisiau Tai (De-ddwyrain)'!Z71)</f>
        <v>267739.86077509192</v>
      </c>
    </row>
    <row r="72" spans="2:33" x14ac:dyDescent="0.25">
      <c r="B72" s="20">
        <v>78</v>
      </c>
      <c r="C72" s="56">
        <v>240000</v>
      </c>
      <c r="D72" s="57">
        <f>C72*(1+'Rhaniad y Ddeiliadaeth (De-ddn)'!C$118)</f>
        <v>246817.34047034266</v>
      </c>
      <c r="E72" s="57">
        <f>D72*(1+'Rhaniad y Ddeiliadaeth (De-ddn)'!D$118)</f>
        <v>247366.89279020482</v>
      </c>
      <c r="F72" s="57">
        <f>E72*(1+'Rhaniad y Ddeiliadaeth (De-ddn)'!E$118)</f>
        <v>252691.31179708251</v>
      </c>
      <c r="G72" s="57">
        <f>F72*(1+'Rhaniad y Ddeiliadaeth (De-ddn)'!F$118)</f>
        <v>262546.06284966535</v>
      </c>
      <c r="H72" s="58">
        <f>G72*(1+'Rhaniad y Ddeiliadaeth (De-ddn)'!G$118)</f>
        <v>273436.45355754066</v>
      </c>
      <c r="L72" s="62" t="str">
        <f t="shared" si="4"/>
        <v/>
      </c>
      <c r="M72" s="239"/>
      <c r="N72" s="14">
        <f t="shared" si="7"/>
        <v>1</v>
      </c>
      <c r="T72" s="1">
        <f t="shared" si="5"/>
        <v>78</v>
      </c>
      <c r="U72" s="4" t="str">
        <f t="shared" si="6"/>
        <v/>
      </c>
      <c r="V72" s="4" t="e">
        <f>IF($V$3=$M$3,M72,U72*(1+'Rhaniad y Ddeiliadaeth (Cymru)'!C$118))</f>
        <v>#VALUE!</v>
      </c>
      <c r="W72" s="4" t="e">
        <f>V72*(1+'Rhaniad y Ddeiliadaeth (Cymru)'!D$118)</f>
        <v>#VALUE!</v>
      </c>
      <c r="X72" s="4" t="e">
        <f>W72*(1+'Rhaniad y Ddeiliadaeth (Cymru)'!E$118)</f>
        <v>#VALUE!</v>
      </c>
      <c r="Y72" s="4" t="e">
        <f>X72*(1+'Rhaniad y Ddeiliadaeth (Cymru)'!F$118)</f>
        <v>#VALUE!</v>
      </c>
      <c r="Z72" s="4" t="e">
        <f>Y72*(1+'Rhaniad y Ddeiliadaeth (Cymru)'!G$118)</f>
        <v>#VALUE!</v>
      </c>
      <c r="AB72" s="1">
        <v>78</v>
      </c>
      <c r="AC72" s="4">
        <f>IF('Rhaniad y Ddeiliadaeth (Cymru)'!$D$18="Data Cofrestrfa Tir",'Prisiau Tai (De-ddwyrain)'!D72,'Prisiau Tai (De-ddwyrain)'!V72)</f>
        <v>246817.34047034266</v>
      </c>
      <c r="AD72" s="4">
        <f>IF('Rhaniad y Ddeiliadaeth (Cymru)'!$D$18="Data Cofrestrfa Tir",'Prisiau Tai (De-ddwyrain)'!E72,'Prisiau Tai (De-ddwyrain)'!W72)</f>
        <v>247366.89279020482</v>
      </c>
      <c r="AE72" s="4">
        <f>IF('Rhaniad y Ddeiliadaeth (Cymru)'!$D$18="Data Cofrestrfa Tir",'Prisiau Tai (De-ddwyrain)'!F72,'Prisiau Tai (De-ddwyrain)'!X72)</f>
        <v>252691.31179708251</v>
      </c>
      <c r="AF72" s="4">
        <f>IF('Rhaniad y Ddeiliadaeth (Cymru)'!$D$18="Data Cofrestrfa Tir",'Prisiau Tai (De-ddwyrain)'!G72,'Prisiau Tai (De-ddwyrain)'!Y72)</f>
        <v>262546.06284966535</v>
      </c>
      <c r="AG72" s="4">
        <f>IF('Rhaniad y Ddeiliadaeth (Cymru)'!$D$18="Data Cofrestrfa Tir",'Prisiau Tai (De-ddwyrain)'!H72,'Prisiau Tai (De-ddwyrain)'!Z72)</f>
        <v>273436.45355754066</v>
      </c>
    </row>
    <row r="73" spans="2:33" x14ac:dyDescent="0.25">
      <c r="B73" s="20">
        <v>79</v>
      </c>
      <c r="C73" s="56">
        <v>245000</v>
      </c>
      <c r="D73" s="57">
        <f>C73*(1+'Rhaniad y Ddeiliadaeth (De-ddn)'!C$118)</f>
        <v>251959.36839680813</v>
      </c>
      <c r="E73" s="57">
        <f>D73*(1+'Rhaniad y Ddeiliadaeth (De-ddn)'!D$118)</f>
        <v>252520.36972333406</v>
      </c>
      <c r="F73" s="57">
        <f>E73*(1+'Rhaniad y Ddeiliadaeth (De-ddn)'!E$118)</f>
        <v>257955.7141261884</v>
      </c>
      <c r="G73" s="57">
        <f>F73*(1+'Rhaniad y Ddeiliadaeth (De-ddn)'!F$118)</f>
        <v>268015.77249236667</v>
      </c>
      <c r="H73" s="58">
        <f>G73*(1+'Rhaniad y Ddeiliadaeth (De-ddn)'!G$118)</f>
        <v>279133.04633998941</v>
      </c>
      <c r="L73" s="62" t="str">
        <f t="shared" si="4"/>
        <v/>
      </c>
      <c r="M73" s="239"/>
      <c r="N73" s="14">
        <f t="shared" si="7"/>
        <v>1</v>
      </c>
      <c r="T73" s="1">
        <f t="shared" si="5"/>
        <v>79</v>
      </c>
      <c r="U73" s="4" t="str">
        <f t="shared" si="6"/>
        <v/>
      </c>
      <c r="V73" s="4" t="e">
        <f>IF($V$3=$M$3,M73,U73*(1+'Rhaniad y Ddeiliadaeth (Cymru)'!C$118))</f>
        <v>#VALUE!</v>
      </c>
      <c r="W73" s="4" t="e">
        <f>V73*(1+'Rhaniad y Ddeiliadaeth (Cymru)'!D$118)</f>
        <v>#VALUE!</v>
      </c>
      <c r="X73" s="4" t="e">
        <f>W73*(1+'Rhaniad y Ddeiliadaeth (Cymru)'!E$118)</f>
        <v>#VALUE!</v>
      </c>
      <c r="Y73" s="4" t="e">
        <f>X73*(1+'Rhaniad y Ddeiliadaeth (Cymru)'!F$118)</f>
        <v>#VALUE!</v>
      </c>
      <c r="Z73" s="4" t="e">
        <f>Y73*(1+'Rhaniad y Ddeiliadaeth (Cymru)'!G$118)</f>
        <v>#VALUE!</v>
      </c>
      <c r="AB73" s="1">
        <v>79</v>
      </c>
      <c r="AC73" s="4">
        <f>IF('Rhaniad y Ddeiliadaeth (Cymru)'!$D$18="Data Cofrestrfa Tir",'Prisiau Tai (De-ddwyrain)'!D73,'Prisiau Tai (De-ddwyrain)'!V73)</f>
        <v>251959.36839680813</v>
      </c>
      <c r="AD73" s="4">
        <f>IF('Rhaniad y Ddeiliadaeth (Cymru)'!$D$18="Data Cofrestrfa Tir",'Prisiau Tai (De-ddwyrain)'!E73,'Prisiau Tai (De-ddwyrain)'!W73)</f>
        <v>252520.36972333406</v>
      </c>
      <c r="AE73" s="4">
        <f>IF('Rhaniad y Ddeiliadaeth (Cymru)'!$D$18="Data Cofrestrfa Tir",'Prisiau Tai (De-ddwyrain)'!F73,'Prisiau Tai (De-ddwyrain)'!X73)</f>
        <v>257955.7141261884</v>
      </c>
      <c r="AF73" s="4">
        <f>IF('Rhaniad y Ddeiliadaeth (Cymru)'!$D$18="Data Cofrestrfa Tir",'Prisiau Tai (De-ddwyrain)'!G73,'Prisiau Tai (De-ddwyrain)'!Y73)</f>
        <v>268015.77249236667</v>
      </c>
      <c r="AG73" s="4">
        <f>IF('Rhaniad y Ddeiliadaeth (Cymru)'!$D$18="Data Cofrestrfa Tir",'Prisiau Tai (De-ddwyrain)'!H73,'Prisiau Tai (De-ddwyrain)'!Z73)</f>
        <v>279133.04633998941</v>
      </c>
    </row>
    <row r="74" spans="2:33" x14ac:dyDescent="0.25">
      <c r="B74" s="20">
        <v>80</v>
      </c>
      <c r="C74" s="56">
        <v>249999.2</v>
      </c>
      <c r="D74" s="57">
        <f>C74*(1+'Rhaniad y Ddeiliadaeth (De-ddn)'!C$118)</f>
        <v>257100.57359880538</v>
      </c>
      <c r="E74" s="57">
        <f>D74*(1+'Rhaniad y Ddeiliadaeth (De-ddn)'!D$118)</f>
        <v>257673.02210015405</v>
      </c>
      <c r="F74" s="57">
        <f>E74*(1+'Rhaniad y Ddeiliadaeth (De-ddn)'!E$118)</f>
        <v>263219.27415092161</v>
      </c>
      <c r="G74" s="57">
        <f>F74*(1+'Rhaniad y Ddeiliadaeth (De-ddn)'!F$118)</f>
        <v>273484.6069815252</v>
      </c>
      <c r="H74" s="58">
        <f>G74*(1+'Rhaniad y Ddeiliadaeth (De-ddn)'!G$118)</f>
        <v>284828.72766759299</v>
      </c>
      <c r="L74" s="62" t="str">
        <f t="shared" si="4"/>
        <v/>
      </c>
      <c r="M74" s="239"/>
      <c r="N74" s="14">
        <f t="shared" si="7"/>
        <v>1</v>
      </c>
      <c r="T74" s="1">
        <f t="shared" si="5"/>
        <v>80</v>
      </c>
      <c r="U74" s="4" t="str">
        <f t="shared" si="6"/>
        <v/>
      </c>
      <c r="V74" s="4" t="e">
        <f>IF($V$3=$M$3,M74,U74*(1+'Rhaniad y Ddeiliadaeth (Cymru)'!C$118))</f>
        <v>#VALUE!</v>
      </c>
      <c r="W74" s="4" t="e">
        <f>V74*(1+'Rhaniad y Ddeiliadaeth (Cymru)'!D$118)</f>
        <v>#VALUE!</v>
      </c>
      <c r="X74" s="4" t="e">
        <f>W74*(1+'Rhaniad y Ddeiliadaeth (Cymru)'!E$118)</f>
        <v>#VALUE!</v>
      </c>
      <c r="Y74" s="4" t="e">
        <f>X74*(1+'Rhaniad y Ddeiliadaeth (Cymru)'!F$118)</f>
        <v>#VALUE!</v>
      </c>
      <c r="Z74" s="4" t="e">
        <f>Y74*(1+'Rhaniad y Ddeiliadaeth (Cymru)'!G$118)</f>
        <v>#VALUE!</v>
      </c>
      <c r="AB74" s="1">
        <v>80</v>
      </c>
      <c r="AC74" s="4">
        <f>IF('Rhaniad y Ddeiliadaeth (Cymru)'!$D$18="Data Cofrestrfa Tir",'Prisiau Tai (De-ddwyrain)'!D74,'Prisiau Tai (De-ddwyrain)'!V74)</f>
        <v>257100.57359880538</v>
      </c>
      <c r="AD74" s="4">
        <f>IF('Rhaniad y Ddeiliadaeth (Cymru)'!$D$18="Data Cofrestrfa Tir",'Prisiau Tai (De-ddwyrain)'!E74,'Prisiau Tai (De-ddwyrain)'!W74)</f>
        <v>257673.02210015405</v>
      </c>
      <c r="AE74" s="4">
        <f>IF('Rhaniad y Ddeiliadaeth (Cymru)'!$D$18="Data Cofrestrfa Tir",'Prisiau Tai (De-ddwyrain)'!F74,'Prisiau Tai (De-ddwyrain)'!X74)</f>
        <v>263219.27415092161</v>
      </c>
      <c r="AF74" s="4">
        <f>IF('Rhaniad y Ddeiliadaeth (Cymru)'!$D$18="Data Cofrestrfa Tir",'Prisiau Tai (De-ddwyrain)'!G74,'Prisiau Tai (De-ddwyrain)'!Y74)</f>
        <v>273484.6069815252</v>
      </c>
      <c r="AG74" s="4">
        <f>IF('Rhaniad y Ddeiliadaeth (Cymru)'!$D$18="Data Cofrestrfa Tir",'Prisiau Tai (De-ddwyrain)'!H74,'Prisiau Tai (De-ddwyrain)'!Z74)</f>
        <v>284828.72766759299</v>
      </c>
    </row>
    <row r="75" spans="2:33" x14ac:dyDescent="0.25">
      <c r="B75" s="20">
        <v>81</v>
      </c>
      <c r="C75" s="56">
        <v>255000</v>
      </c>
      <c r="D75" s="57">
        <f>C75*(1+'Rhaniad y Ddeiliadaeth (De-ddn)'!C$118)</f>
        <v>262243.4242497391</v>
      </c>
      <c r="E75" s="57">
        <f>D75*(1+'Rhaniad y Ddeiliadaeth (De-ddn)'!D$118)</f>
        <v>262827.32358959265</v>
      </c>
      <c r="F75" s="57">
        <f>E75*(1+'Rhaniad y Ddeiliadaeth (De-ddn)'!E$118)</f>
        <v>268484.51878440019</v>
      </c>
      <c r="G75" s="57">
        <f>F75*(1+'Rhaniad y Ddeiliadaeth (De-ddn)'!F$118)</f>
        <v>278955.19177776942</v>
      </c>
      <c r="H75" s="58">
        <f>G75*(1+'Rhaniad y Ddeiliadaeth (De-ddn)'!G$118)</f>
        <v>290526.23190488695</v>
      </c>
      <c r="L75" s="62" t="str">
        <f t="shared" si="4"/>
        <v/>
      </c>
      <c r="M75" s="239"/>
      <c r="N75" s="14">
        <f t="shared" si="7"/>
        <v>1</v>
      </c>
      <c r="T75" s="1">
        <f t="shared" si="5"/>
        <v>81</v>
      </c>
      <c r="U75" s="4" t="str">
        <f t="shared" si="6"/>
        <v/>
      </c>
      <c r="V75" s="4" t="e">
        <f>IF($V$3=$M$3,M75,U75*(1+'Rhaniad y Ddeiliadaeth (Cymru)'!C$118))</f>
        <v>#VALUE!</v>
      </c>
      <c r="W75" s="4" t="e">
        <f>V75*(1+'Rhaniad y Ddeiliadaeth (Cymru)'!D$118)</f>
        <v>#VALUE!</v>
      </c>
      <c r="X75" s="4" t="e">
        <f>W75*(1+'Rhaniad y Ddeiliadaeth (Cymru)'!E$118)</f>
        <v>#VALUE!</v>
      </c>
      <c r="Y75" s="4" t="e">
        <f>X75*(1+'Rhaniad y Ddeiliadaeth (Cymru)'!F$118)</f>
        <v>#VALUE!</v>
      </c>
      <c r="Z75" s="4" t="e">
        <f>Y75*(1+'Rhaniad y Ddeiliadaeth (Cymru)'!G$118)</f>
        <v>#VALUE!</v>
      </c>
      <c r="AB75" s="1">
        <v>81</v>
      </c>
      <c r="AC75" s="4">
        <f>IF('Rhaniad y Ddeiliadaeth (Cymru)'!$D$18="Data Cofrestrfa Tir",'Prisiau Tai (De-ddwyrain)'!D75,'Prisiau Tai (De-ddwyrain)'!V75)</f>
        <v>262243.4242497391</v>
      </c>
      <c r="AD75" s="4">
        <f>IF('Rhaniad y Ddeiliadaeth (Cymru)'!$D$18="Data Cofrestrfa Tir",'Prisiau Tai (De-ddwyrain)'!E75,'Prisiau Tai (De-ddwyrain)'!W75)</f>
        <v>262827.32358959265</v>
      </c>
      <c r="AE75" s="4">
        <f>IF('Rhaniad y Ddeiliadaeth (Cymru)'!$D$18="Data Cofrestrfa Tir",'Prisiau Tai (De-ddwyrain)'!F75,'Prisiau Tai (De-ddwyrain)'!X75)</f>
        <v>268484.51878440019</v>
      </c>
      <c r="AF75" s="4">
        <f>IF('Rhaniad y Ddeiliadaeth (Cymru)'!$D$18="Data Cofrestrfa Tir",'Prisiau Tai (De-ddwyrain)'!G75,'Prisiau Tai (De-ddwyrain)'!Y75)</f>
        <v>278955.19177776942</v>
      </c>
      <c r="AG75" s="4">
        <f>IF('Rhaniad y Ddeiliadaeth (Cymru)'!$D$18="Data Cofrestrfa Tir",'Prisiau Tai (De-ddwyrain)'!H75,'Prisiau Tai (De-ddwyrain)'!Z75)</f>
        <v>290526.23190488695</v>
      </c>
    </row>
    <row r="76" spans="2:33" x14ac:dyDescent="0.25">
      <c r="B76" s="20">
        <v>82</v>
      </c>
      <c r="C76" s="56">
        <v>260000</v>
      </c>
      <c r="D76" s="57">
        <f>C76*(1+'Rhaniad y Ddeiliadaeth (De-ddn)'!C$118)</f>
        <v>267385.45217620453</v>
      </c>
      <c r="E76" s="57">
        <f>D76*(1+'Rhaniad y Ddeiliadaeth (De-ddn)'!D$118)</f>
        <v>267980.80052272184</v>
      </c>
      <c r="F76" s="57">
        <f>E76*(1+'Rhaniad y Ddeiliadaeth (De-ddn)'!E$118)</f>
        <v>273748.92111350602</v>
      </c>
      <c r="G76" s="57">
        <f>F76*(1+'Rhaniad y Ddeiliadaeth (De-ddn)'!F$118)</f>
        <v>284424.90142047073</v>
      </c>
      <c r="H76" s="58">
        <f>G76*(1+'Rhaniad y Ddeiliadaeth (De-ddn)'!G$118)</f>
        <v>296222.8246873357</v>
      </c>
      <c r="L76" s="62" t="str">
        <f t="shared" si="4"/>
        <v/>
      </c>
      <c r="M76" s="239"/>
      <c r="N76" s="14">
        <f t="shared" si="7"/>
        <v>1</v>
      </c>
      <c r="T76" s="1">
        <f t="shared" si="5"/>
        <v>82</v>
      </c>
      <c r="U76" s="4" t="str">
        <f t="shared" si="6"/>
        <v/>
      </c>
      <c r="V76" s="4" t="e">
        <f>IF($V$3=$M$3,M76,U76*(1+'Rhaniad y Ddeiliadaeth (Cymru)'!C$118))</f>
        <v>#VALUE!</v>
      </c>
      <c r="W76" s="4" t="e">
        <f>V76*(1+'Rhaniad y Ddeiliadaeth (Cymru)'!D$118)</f>
        <v>#VALUE!</v>
      </c>
      <c r="X76" s="4" t="e">
        <f>W76*(1+'Rhaniad y Ddeiliadaeth (Cymru)'!E$118)</f>
        <v>#VALUE!</v>
      </c>
      <c r="Y76" s="4" t="e">
        <f>X76*(1+'Rhaniad y Ddeiliadaeth (Cymru)'!F$118)</f>
        <v>#VALUE!</v>
      </c>
      <c r="Z76" s="4" t="e">
        <f>Y76*(1+'Rhaniad y Ddeiliadaeth (Cymru)'!G$118)</f>
        <v>#VALUE!</v>
      </c>
      <c r="AB76" s="1">
        <v>82</v>
      </c>
      <c r="AC76" s="4">
        <f>IF('Rhaniad y Ddeiliadaeth (Cymru)'!$D$18="Data Cofrestrfa Tir",'Prisiau Tai (De-ddwyrain)'!D76,'Prisiau Tai (De-ddwyrain)'!V76)</f>
        <v>267385.45217620453</v>
      </c>
      <c r="AD76" s="4">
        <f>IF('Rhaniad y Ddeiliadaeth (Cymru)'!$D$18="Data Cofrestrfa Tir",'Prisiau Tai (De-ddwyrain)'!E76,'Prisiau Tai (De-ddwyrain)'!W76)</f>
        <v>267980.80052272184</v>
      </c>
      <c r="AE76" s="4">
        <f>IF('Rhaniad y Ddeiliadaeth (Cymru)'!$D$18="Data Cofrestrfa Tir",'Prisiau Tai (De-ddwyrain)'!F76,'Prisiau Tai (De-ddwyrain)'!X76)</f>
        <v>273748.92111350602</v>
      </c>
      <c r="AF76" s="4">
        <f>IF('Rhaniad y Ddeiliadaeth (Cymru)'!$D$18="Data Cofrestrfa Tir",'Prisiau Tai (De-ddwyrain)'!G76,'Prisiau Tai (De-ddwyrain)'!Y76)</f>
        <v>284424.90142047073</v>
      </c>
      <c r="AG76" s="4">
        <f>IF('Rhaniad y Ddeiliadaeth (Cymru)'!$D$18="Data Cofrestrfa Tir",'Prisiau Tai (De-ddwyrain)'!H76,'Prisiau Tai (De-ddwyrain)'!Z76)</f>
        <v>296222.8246873357</v>
      </c>
    </row>
    <row r="77" spans="2:33" x14ac:dyDescent="0.25">
      <c r="B77" s="20">
        <v>83</v>
      </c>
      <c r="C77" s="56">
        <v>265023.99999999977</v>
      </c>
      <c r="D77" s="57">
        <f>C77*(1+'Rhaniad y Ddeiliadaeth (De-ddn)'!C$118)</f>
        <v>272552.16183671681</v>
      </c>
      <c r="E77" s="57">
        <f>D77*(1+'Rhaniad y Ddeiliadaeth (De-ddn)'!D$118)</f>
        <v>273159.01414512994</v>
      </c>
      <c r="F77" s="57">
        <f>E77*(1+'Rhaniad y Ddeiliadaeth (De-ddn)'!E$118)</f>
        <v>279038.59257379139</v>
      </c>
      <c r="G77" s="57">
        <f>F77*(1+'Rhaniad y Ddeiliadaeth (De-ddn)'!F$118)</f>
        <v>289920.86566945683</v>
      </c>
      <c r="H77" s="58">
        <f>G77*(1+'Rhaniad y Ddeiliadaeth (De-ddn)'!G$118)</f>
        <v>301946.76111513999</v>
      </c>
      <c r="L77" s="62" t="str">
        <f t="shared" si="4"/>
        <v/>
      </c>
      <c r="M77" s="239"/>
      <c r="N77" s="14">
        <f t="shared" si="7"/>
        <v>1</v>
      </c>
      <c r="T77" s="1">
        <f t="shared" si="5"/>
        <v>83</v>
      </c>
      <c r="U77" s="4" t="str">
        <f t="shared" si="6"/>
        <v/>
      </c>
      <c r="V77" s="4" t="e">
        <f>IF($V$3=$M$3,M77,U77*(1+'Rhaniad y Ddeiliadaeth (Cymru)'!C$118))</f>
        <v>#VALUE!</v>
      </c>
      <c r="W77" s="4" t="e">
        <f>V77*(1+'Rhaniad y Ddeiliadaeth (Cymru)'!D$118)</f>
        <v>#VALUE!</v>
      </c>
      <c r="X77" s="4" t="e">
        <f>W77*(1+'Rhaniad y Ddeiliadaeth (Cymru)'!E$118)</f>
        <v>#VALUE!</v>
      </c>
      <c r="Y77" s="4" t="e">
        <f>X77*(1+'Rhaniad y Ddeiliadaeth (Cymru)'!F$118)</f>
        <v>#VALUE!</v>
      </c>
      <c r="Z77" s="4" t="e">
        <f>Y77*(1+'Rhaniad y Ddeiliadaeth (Cymru)'!G$118)</f>
        <v>#VALUE!</v>
      </c>
      <c r="AB77" s="1">
        <v>83</v>
      </c>
      <c r="AC77" s="4">
        <f>IF('Rhaniad y Ddeiliadaeth (Cymru)'!$D$18="Data Cofrestrfa Tir",'Prisiau Tai (De-ddwyrain)'!D77,'Prisiau Tai (De-ddwyrain)'!V77)</f>
        <v>272552.16183671681</v>
      </c>
      <c r="AD77" s="4">
        <f>IF('Rhaniad y Ddeiliadaeth (Cymru)'!$D$18="Data Cofrestrfa Tir",'Prisiau Tai (De-ddwyrain)'!E77,'Prisiau Tai (De-ddwyrain)'!W77)</f>
        <v>273159.01414512994</v>
      </c>
      <c r="AE77" s="4">
        <f>IF('Rhaniad y Ddeiliadaeth (Cymru)'!$D$18="Data Cofrestrfa Tir",'Prisiau Tai (De-ddwyrain)'!F77,'Prisiau Tai (De-ddwyrain)'!X77)</f>
        <v>279038.59257379139</v>
      </c>
      <c r="AF77" s="4">
        <f>IF('Rhaniad y Ddeiliadaeth (Cymru)'!$D$18="Data Cofrestrfa Tir",'Prisiau Tai (De-ddwyrain)'!G77,'Prisiau Tai (De-ddwyrain)'!Y77)</f>
        <v>289920.86566945683</v>
      </c>
      <c r="AG77" s="4">
        <f>IF('Rhaniad y Ddeiliadaeth (Cymru)'!$D$18="Data Cofrestrfa Tir",'Prisiau Tai (De-ddwyrain)'!H77,'Prisiau Tai (De-ddwyrain)'!Z77)</f>
        <v>301946.76111513999</v>
      </c>
    </row>
    <row r="78" spans="2:33" x14ac:dyDescent="0.25">
      <c r="B78" s="20">
        <v>84</v>
      </c>
      <c r="C78" s="56">
        <v>272000</v>
      </c>
      <c r="D78" s="57">
        <f>C78*(1+'Rhaniad y Ddeiliadaeth (De-ddn)'!C$118)</f>
        <v>279726.31919972168</v>
      </c>
      <c r="E78" s="57">
        <f>D78*(1+'Rhaniad y Ddeiliadaeth (De-ddn)'!D$118)</f>
        <v>280349.1451622321</v>
      </c>
      <c r="F78" s="57">
        <f>E78*(1+'Rhaniad y Ddeiliadaeth (De-ddn)'!E$118)</f>
        <v>286383.48670336016</v>
      </c>
      <c r="G78" s="57">
        <f>F78*(1+'Rhaniad y Ddeiliadaeth (De-ddn)'!F$118)</f>
        <v>297552.20456295402</v>
      </c>
      <c r="H78" s="58">
        <f>G78*(1+'Rhaniad y Ddeiliadaeth (De-ddn)'!G$118)</f>
        <v>309894.64736521273</v>
      </c>
      <c r="L78" s="62" t="str">
        <f t="shared" si="4"/>
        <v/>
      </c>
      <c r="M78" s="239"/>
      <c r="N78" s="14">
        <f t="shared" si="7"/>
        <v>1</v>
      </c>
      <c r="T78" s="1">
        <f t="shared" si="5"/>
        <v>84</v>
      </c>
      <c r="U78" s="4" t="str">
        <f t="shared" si="6"/>
        <v/>
      </c>
      <c r="V78" s="4" t="e">
        <f>IF($V$3=$M$3,M78,U78*(1+'Rhaniad y Ddeiliadaeth (Cymru)'!C$118))</f>
        <v>#VALUE!</v>
      </c>
      <c r="W78" s="4" t="e">
        <f>V78*(1+'Rhaniad y Ddeiliadaeth (Cymru)'!D$118)</f>
        <v>#VALUE!</v>
      </c>
      <c r="X78" s="4" t="e">
        <f>W78*(1+'Rhaniad y Ddeiliadaeth (Cymru)'!E$118)</f>
        <v>#VALUE!</v>
      </c>
      <c r="Y78" s="4" t="e">
        <f>X78*(1+'Rhaniad y Ddeiliadaeth (Cymru)'!F$118)</f>
        <v>#VALUE!</v>
      </c>
      <c r="Z78" s="4" t="e">
        <f>Y78*(1+'Rhaniad y Ddeiliadaeth (Cymru)'!G$118)</f>
        <v>#VALUE!</v>
      </c>
      <c r="AB78" s="1">
        <v>84</v>
      </c>
      <c r="AC78" s="4">
        <f>IF('Rhaniad y Ddeiliadaeth (Cymru)'!$D$18="Data Cofrestrfa Tir",'Prisiau Tai (De-ddwyrain)'!D78,'Prisiau Tai (De-ddwyrain)'!V78)</f>
        <v>279726.31919972168</v>
      </c>
      <c r="AD78" s="4">
        <f>IF('Rhaniad y Ddeiliadaeth (Cymru)'!$D$18="Data Cofrestrfa Tir",'Prisiau Tai (De-ddwyrain)'!E78,'Prisiau Tai (De-ddwyrain)'!W78)</f>
        <v>280349.1451622321</v>
      </c>
      <c r="AE78" s="4">
        <f>IF('Rhaniad y Ddeiliadaeth (Cymru)'!$D$18="Data Cofrestrfa Tir",'Prisiau Tai (De-ddwyrain)'!F78,'Prisiau Tai (De-ddwyrain)'!X78)</f>
        <v>286383.48670336016</v>
      </c>
      <c r="AF78" s="4">
        <f>IF('Rhaniad y Ddeiliadaeth (Cymru)'!$D$18="Data Cofrestrfa Tir",'Prisiau Tai (De-ddwyrain)'!G78,'Prisiau Tai (De-ddwyrain)'!Y78)</f>
        <v>297552.20456295402</v>
      </c>
      <c r="AG78" s="4">
        <f>IF('Rhaniad y Ddeiliadaeth (Cymru)'!$D$18="Data Cofrestrfa Tir",'Prisiau Tai (De-ddwyrain)'!H78,'Prisiau Tai (De-ddwyrain)'!Z78)</f>
        <v>309894.64736521273</v>
      </c>
    </row>
    <row r="79" spans="2:33" x14ac:dyDescent="0.25">
      <c r="B79" s="20">
        <v>85</v>
      </c>
      <c r="C79" s="56">
        <v>279950</v>
      </c>
      <c r="D79" s="57">
        <f>C79*(1+'Rhaniad y Ddeiliadaeth (De-ddn)'!C$118)</f>
        <v>287902.14360280178</v>
      </c>
      <c r="E79" s="57">
        <f>D79*(1+'Rhaniad y Ddeiliadaeth (De-ddn)'!D$118)</f>
        <v>288543.17348590767</v>
      </c>
      <c r="F79" s="57">
        <f>E79*(1+'Rhaniad y Ddeiliadaeth (De-ddn)'!E$118)</f>
        <v>294753.88640663854</v>
      </c>
      <c r="G79" s="57">
        <f>F79*(1+'Rhaniad y Ddeiliadaeth (De-ddn)'!F$118)</f>
        <v>306249.0428948492</v>
      </c>
      <c r="H79" s="58">
        <f>G79*(1+'Rhaniad y Ddeiliadaeth (De-ddn)'!G$118)</f>
        <v>318952.2298893063</v>
      </c>
      <c r="L79" s="62" t="str">
        <f t="shared" si="4"/>
        <v/>
      </c>
      <c r="M79" s="239"/>
      <c r="N79" s="14">
        <f t="shared" si="7"/>
        <v>1</v>
      </c>
      <c r="T79" s="1">
        <f t="shared" si="5"/>
        <v>85</v>
      </c>
      <c r="U79" s="4" t="str">
        <f t="shared" si="6"/>
        <v/>
      </c>
      <c r="V79" s="4" t="e">
        <f>IF($V$3=$M$3,M79,U79*(1+'Rhaniad y Ddeiliadaeth (Cymru)'!C$118))</f>
        <v>#VALUE!</v>
      </c>
      <c r="W79" s="4" t="e">
        <f>V79*(1+'Rhaniad y Ddeiliadaeth (Cymru)'!D$118)</f>
        <v>#VALUE!</v>
      </c>
      <c r="X79" s="4" t="e">
        <f>W79*(1+'Rhaniad y Ddeiliadaeth (Cymru)'!E$118)</f>
        <v>#VALUE!</v>
      </c>
      <c r="Y79" s="4" t="e">
        <f>X79*(1+'Rhaniad y Ddeiliadaeth (Cymru)'!F$118)</f>
        <v>#VALUE!</v>
      </c>
      <c r="Z79" s="4" t="e">
        <f>Y79*(1+'Rhaniad y Ddeiliadaeth (Cymru)'!G$118)</f>
        <v>#VALUE!</v>
      </c>
      <c r="AB79" s="1">
        <v>85</v>
      </c>
      <c r="AC79" s="4">
        <f>IF('Rhaniad y Ddeiliadaeth (Cymru)'!$D$18="Data Cofrestrfa Tir",'Prisiau Tai (De-ddwyrain)'!D79,'Prisiau Tai (De-ddwyrain)'!V79)</f>
        <v>287902.14360280178</v>
      </c>
      <c r="AD79" s="4">
        <f>IF('Rhaniad y Ddeiliadaeth (Cymru)'!$D$18="Data Cofrestrfa Tir",'Prisiau Tai (De-ddwyrain)'!E79,'Prisiau Tai (De-ddwyrain)'!W79)</f>
        <v>288543.17348590767</v>
      </c>
      <c r="AE79" s="4">
        <f>IF('Rhaniad y Ddeiliadaeth (Cymru)'!$D$18="Data Cofrestrfa Tir",'Prisiau Tai (De-ddwyrain)'!F79,'Prisiau Tai (De-ddwyrain)'!X79)</f>
        <v>294753.88640663854</v>
      </c>
      <c r="AF79" s="4">
        <f>IF('Rhaniad y Ddeiliadaeth (Cymru)'!$D$18="Data Cofrestrfa Tir",'Prisiau Tai (De-ddwyrain)'!G79,'Prisiau Tai (De-ddwyrain)'!Y79)</f>
        <v>306249.0428948492</v>
      </c>
      <c r="AG79" s="4">
        <f>IF('Rhaniad y Ddeiliadaeth (Cymru)'!$D$18="Data Cofrestrfa Tir",'Prisiau Tai (De-ddwyrain)'!H79,'Prisiau Tai (De-ddwyrain)'!Z79)</f>
        <v>318952.2298893063</v>
      </c>
    </row>
    <row r="80" spans="2:33" x14ac:dyDescent="0.25">
      <c r="B80" s="20">
        <v>86</v>
      </c>
      <c r="C80" s="56">
        <v>285000</v>
      </c>
      <c r="D80" s="57">
        <f>C80*(1+'Rhaniad y Ddeiliadaeth (De-ddn)'!C$118)</f>
        <v>293095.5918085319</v>
      </c>
      <c r="E80" s="57">
        <f>D80*(1+'Rhaniad y Ddeiliadaeth (De-ddn)'!D$118)</f>
        <v>293748.1851883682</v>
      </c>
      <c r="F80" s="57">
        <f>E80*(1+'Rhaniad y Ddeiliadaeth (De-ddn)'!E$118)</f>
        <v>300070.93275903544</v>
      </c>
      <c r="G80" s="57">
        <f>F80*(1+'Rhaniad y Ddeiliadaeth (De-ddn)'!F$118)</f>
        <v>311773.44963397755</v>
      </c>
      <c r="H80" s="58">
        <f>G80*(1+'Rhaniad y Ddeiliadaeth (De-ddn)'!G$118)</f>
        <v>324705.78859957954</v>
      </c>
      <c r="L80" s="62" t="str">
        <f t="shared" si="4"/>
        <v/>
      </c>
      <c r="M80" s="239"/>
      <c r="N80" s="14">
        <f t="shared" si="7"/>
        <v>1</v>
      </c>
      <c r="T80" s="1">
        <f t="shared" si="5"/>
        <v>86</v>
      </c>
      <c r="U80" s="4" t="str">
        <f t="shared" si="6"/>
        <v/>
      </c>
      <c r="V80" s="4" t="e">
        <f>IF($V$3=$M$3,M80,U80*(1+'Rhaniad y Ddeiliadaeth (Cymru)'!C$118))</f>
        <v>#VALUE!</v>
      </c>
      <c r="W80" s="4" t="e">
        <f>V80*(1+'Rhaniad y Ddeiliadaeth (Cymru)'!D$118)</f>
        <v>#VALUE!</v>
      </c>
      <c r="X80" s="4" t="e">
        <f>W80*(1+'Rhaniad y Ddeiliadaeth (Cymru)'!E$118)</f>
        <v>#VALUE!</v>
      </c>
      <c r="Y80" s="4" t="e">
        <f>X80*(1+'Rhaniad y Ddeiliadaeth (Cymru)'!F$118)</f>
        <v>#VALUE!</v>
      </c>
      <c r="Z80" s="4" t="e">
        <f>Y80*(1+'Rhaniad y Ddeiliadaeth (Cymru)'!G$118)</f>
        <v>#VALUE!</v>
      </c>
      <c r="AB80" s="1">
        <v>86</v>
      </c>
      <c r="AC80" s="4">
        <f>IF('Rhaniad y Ddeiliadaeth (Cymru)'!$D$18="Data Cofrestrfa Tir",'Prisiau Tai (De-ddwyrain)'!D80,'Prisiau Tai (De-ddwyrain)'!V80)</f>
        <v>293095.5918085319</v>
      </c>
      <c r="AD80" s="4">
        <f>IF('Rhaniad y Ddeiliadaeth (Cymru)'!$D$18="Data Cofrestrfa Tir",'Prisiau Tai (De-ddwyrain)'!E80,'Prisiau Tai (De-ddwyrain)'!W80)</f>
        <v>293748.1851883682</v>
      </c>
      <c r="AE80" s="4">
        <f>IF('Rhaniad y Ddeiliadaeth (Cymru)'!$D$18="Data Cofrestrfa Tir",'Prisiau Tai (De-ddwyrain)'!F80,'Prisiau Tai (De-ddwyrain)'!X80)</f>
        <v>300070.93275903544</v>
      </c>
      <c r="AF80" s="4">
        <f>IF('Rhaniad y Ddeiliadaeth (Cymru)'!$D$18="Data Cofrestrfa Tir",'Prisiau Tai (De-ddwyrain)'!G80,'Prisiau Tai (De-ddwyrain)'!Y80)</f>
        <v>311773.44963397755</v>
      </c>
      <c r="AG80" s="4">
        <f>IF('Rhaniad y Ddeiliadaeth (Cymru)'!$D$18="Data Cofrestrfa Tir",'Prisiau Tai (De-ddwyrain)'!H80,'Prisiau Tai (De-ddwyrain)'!Z80)</f>
        <v>324705.78859957954</v>
      </c>
    </row>
    <row r="81" spans="2:33" x14ac:dyDescent="0.25">
      <c r="B81" s="20">
        <v>87</v>
      </c>
      <c r="C81" s="56">
        <v>292000</v>
      </c>
      <c r="D81" s="57">
        <f>C81*(1+'Rhaniad y Ddeiliadaeth (De-ddn)'!C$118)</f>
        <v>300294.43090558361</v>
      </c>
      <c r="E81" s="57">
        <f>D81*(1+'Rhaniad y Ddeiliadaeth (De-ddn)'!D$118)</f>
        <v>300963.05289474921</v>
      </c>
      <c r="F81" s="57">
        <f>E81*(1+'Rhaniad y Ddeiliadaeth (De-ddn)'!E$118)</f>
        <v>307441.09601978376</v>
      </c>
      <c r="G81" s="57">
        <f>F81*(1+'Rhaniad y Ddeiliadaeth (De-ddn)'!F$118)</f>
        <v>319431.04313375952</v>
      </c>
      <c r="H81" s="58">
        <f>G81*(1+'Rhaniad y Ddeiliadaeth (De-ddn)'!G$118)</f>
        <v>332681.01849500783</v>
      </c>
      <c r="L81" s="62" t="str">
        <f t="shared" si="4"/>
        <v/>
      </c>
      <c r="M81" s="239"/>
      <c r="N81" s="14">
        <f t="shared" si="7"/>
        <v>1</v>
      </c>
      <c r="T81" s="1">
        <f t="shared" si="5"/>
        <v>87</v>
      </c>
      <c r="U81" s="4" t="str">
        <f t="shared" si="6"/>
        <v/>
      </c>
      <c r="V81" s="4" t="e">
        <f>IF($V$3=$M$3,M81,U81*(1+'Rhaniad y Ddeiliadaeth (Cymru)'!C$118))</f>
        <v>#VALUE!</v>
      </c>
      <c r="W81" s="4" t="e">
        <f>V81*(1+'Rhaniad y Ddeiliadaeth (Cymru)'!D$118)</f>
        <v>#VALUE!</v>
      </c>
      <c r="X81" s="4" t="e">
        <f>W81*(1+'Rhaniad y Ddeiliadaeth (Cymru)'!E$118)</f>
        <v>#VALUE!</v>
      </c>
      <c r="Y81" s="4" t="e">
        <f>X81*(1+'Rhaniad y Ddeiliadaeth (Cymru)'!F$118)</f>
        <v>#VALUE!</v>
      </c>
      <c r="Z81" s="4" t="e">
        <f>Y81*(1+'Rhaniad y Ddeiliadaeth (Cymru)'!G$118)</f>
        <v>#VALUE!</v>
      </c>
      <c r="AB81" s="1">
        <v>87</v>
      </c>
      <c r="AC81" s="4">
        <f>IF('Rhaniad y Ddeiliadaeth (Cymru)'!$D$18="Data Cofrestrfa Tir",'Prisiau Tai (De-ddwyrain)'!D81,'Prisiau Tai (De-ddwyrain)'!V81)</f>
        <v>300294.43090558361</v>
      </c>
      <c r="AD81" s="4">
        <f>IF('Rhaniad y Ddeiliadaeth (Cymru)'!$D$18="Data Cofrestrfa Tir",'Prisiau Tai (De-ddwyrain)'!E81,'Prisiau Tai (De-ddwyrain)'!W81)</f>
        <v>300963.05289474921</v>
      </c>
      <c r="AE81" s="4">
        <f>IF('Rhaniad y Ddeiliadaeth (Cymru)'!$D$18="Data Cofrestrfa Tir",'Prisiau Tai (De-ddwyrain)'!F81,'Prisiau Tai (De-ddwyrain)'!X81)</f>
        <v>307441.09601978376</v>
      </c>
      <c r="AF81" s="4">
        <f>IF('Rhaniad y Ddeiliadaeth (Cymru)'!$D$18="Data Cofrestrfa Tir",'Prisiau Tai (De-ddwyrain)'!G81,'Prisiau Tai (De-ddwyrain)'!Y81)</f>
        <v>319431.04313375952</v>
      </c>
      <c r="AG81" s="4">
        <f>IF('Rhaniad y Ddeiliadaeth (Cymru)'!$D$18="Data Cofrestrfa Tir",'Prisiau Tai (De-ddwyrain)'!H81,'Prisiau Tai (De-ddwyrain)'!Z81)</f>
        <v>332681.01849500783</v>
      </c>
    </row>
    <row r="82" spans="2:33" x14ac:dyDescent="0.25">
      <c r="B82" s="20">
        <v>88</v>
      </c>
      <c r="C82" s="56">
        <v>299995</v>
      </c>
      <c r="D82" s="57">
        <f>C82*(1+'Rhaniad y Ddeiliadaeth (De-ddn)'!C$118)</f>
        <v>308516.53356000187</v>
      </c>
      <c r="E82" s="57">
        <f>D82*(1+'Rhaniad y Ddeiliadaeth (De-ddn)'!D$118)</f>
        <v>309203.46251082286</v>
      </c>
      <c r="F82" s="57">
        <f>E82*(1+'Rhaniad y Ddeiliadaeth (De-ddn)'!E$118)</f>
        <v>315858.87534402404</v>
      </c>
      <c r="G82" s="57">
        <f>F82*(1+'Rhaniad y Ddeiliadaeth (De-ddn)'!F$118)</f>
        <v>328177.10885243898</v>
      </c>
      <c r="H82" s="58">
        <f>G82*(1+'Rhaniad y Ddeiliadaeth (De-ddn)'!G$118)</f>
        <v>341789.87035414338</v>
      </c>
      <c r="L82" s="62" t="str">
        <f t="shared" si="4"/>
        <v/>
      </c>
      <c r="M82" s="239"/>
      <c r="N82" s="14">
        <f t="shared" si="7"/>
        <v>1</v>
      </c>
      <c r="T82" s="1">
        <f t="shared" si="5"/>
        <v>88</v>
      </c>
      <c r="U82" s="4" t="str">
        <f t="shared" si="6"/>
        <v/>
      </c>
      <c r="V82" s="4" t="e">
        <f>IF($V$3=$M$3,M82,U82*(1+'Rhaniad y Ddeiliadaeth (Cymru)'!C$118))</f>
        <v>#VALUE!</v>
      </c>
      <c r="W82" s="4" t="e">
        <f>V82*(1+'Rhaniad y Ddeiliadaeth (Cymru)'!D$118)</f>
        <v>#VALUE!</v>
      </c>
      <c r="X82" s="4" t="e">
        <f>W82*(1+'Rhaniad y Ddeiliadaeth (Cymru)'!E$118)</f>
        <v>#VALUE!</v>
      </c>
      <c r="Y82" s="4" t="e">
        <f>X82*(1+'Rhaniad y Ddeiliadaeth (Cymru)'!F$118)</f>
        <v>#VALUE!</v>
      </c>
      <c r="Z82" s="4" t="e">
        <f>Y82*(1+'Rhaniad y Ddeiliadaeth (Cymru)'!G$118)</f>
        <v>#VALUE!</v>
      </c>
      <c r="AB82" s="1">
        <v>88</v>
      </c>
      <c r="AC82" s="4">
        <f>IF('Rhaniad y Ddeiliadaeth (Cymru)'!$D$18="Data Cofrestrfa Tir",'Prisiau Tai (De-ddwyrain)'!D82,'Prisiau Tai (De-ddwyrain)'!V82)</f>
        <v>308516.53356000187</v>
      </c>
      <c r="AD82" s="4">
        <f>IF('Rhaniad y Ddeiliadaeth (Cymru)'!$D$18="Data Cofrestrfa Tir",'Prisiau Tai (De-ddwyrain)'!E82,'Prisiau Tai (De-ddwyrain)'!W82)</f>
        <v>309203.46251082286</v>
      </c>
      <c r="AE82" s="4">
        <f>IF('Rhaniad y Ddeiliadaeth (Cymru)'!$D$18="Data Cofrestrfa Tir",'Prisiau Tai (De-ddwyrain)'!F82,'Prisiau Tai (De-ddwyrain)'!X82)</f>
        <v>315858.87534402404</v>
      </c>
      <c r="AF82" s="4">
        <f>IF('Rhaniad y Ddeiliadaeth (Cymru)'!$D$18="Data Cofrestrfa Tir",'Prisiau Tai (De-ddwyrain)'!G82,'Prisiau Tai (De-ddwyrain)'!Y82)</f>
        <v>328177.10885243898</v>
      </c>
      <c r="AG82" s="4">
        <f>IF('Rhaniad y Ddeiliadaeth (Cymru)'!$D$18="Data Cofrestrfa Tir",'Prisiau Tai (De-ddwyrain)'!H82,'Prisiau Tai (De-ddwyrain)'!Z82)</f>
        <v>341789.87035414338</v>
      </c>
    </row>
    <row r="83" spans="2:33" x14ac:dyDescent="0.25">
      <c r="B83" s="20">
        <v>89</v>
      </c>
      <c r="C83" s="56">
        <v>310000</v>
      </c>
      <c r="D83" s="57">
        <f>C83*(1+'Rhaniad y Ddeiliadaeth (De-ddn)'!C$118)</f>
        <v>318805.73144085926</v>
      </c>
      <c r="E83" s="57">
        <f>D83*(1+'Rhaniad y Ddeiliadaeth (De-ddn)'!D$118)</f>
        <v>319515.56985401455</v>
      </c>
      <c r="F83" s="57">
        <f>E83*(1+'Rhaniad y Ddeiliadaeth (De-ddn)'!E$118)</f>
        <v>326392.94440456491</v>
      </c>
      <c r="G83" s="57">
        <f>F83*(1+'Rhaniad y Ddeiliadaeth (De-ddn)'!F$118)</f>
        <v>339121.99784748437</v>
      </c>
      <c r="H83" s="58">
        <f>G83*(1+'Rhaniad y Ddeiliadaeth (De-ddn)'!G$118)</f>
        <v>353188.75251182332</v>
      </c>
      <c r="L83" s="62" t="str">
        <f t="shared" si="4"/>
        <v/>
      </c>
      <c r="M83" s="239"/>
      <c r="N83" s="14">
        <f t="shared" si="7"/>
        <v>1</v>
      </c>
      <c r="T83" s="1">
        <f t="shared" si="5"/>
        <v>89</v>
      </c>
      <c r="U83" s="4" t="str">
        <f t="shared" si="6"/>
        <v/>
      </c>
      <c r="V83" s="4" t="e">
        <f>IF($V$3=$M$3,M83,U83*(1+'Rhaniad y Ddeiliadaeth (Cymru)'!C$118))</f>
        <v>#VALUE!</v>
      </c>
      <c r="W83" s="4" t="e">
        <f>V83*(1+'Rhaniad y Ddeiliadaeth (Cymru)'!D$118)</f>
        <v>#VALUE!</v>
      </c>
      <c r="X83" s="4" t="e">
        <f>W83*(1+'Rhaniad y Ddeiliadaeth (Cymru)'!E$118)</f>
        <v>#VALUE!</v>
      </c>
      <c r="Y83" s="4" t="e">
        <f>X83*(1+'Rhaniad y Ddeiliadaeth (Cymru)'!F$118)</f>
        <v>#VALUE!</v>
      </c>
      <c r="Z83" s="4" t="e">
        <f>Y83*(1+'Rhaniad y Ddeiliadaeth (Cymru)'!G$118)</f>
        <v>#VALUE!</v>
      </c>
      <c r="AB83" s="1">
        <v>89</v>
      </c>
      <c r="AC83" s="4">
        <f>IF('Rhaniad y Ddeiliadaeth (Cymru)'!$D$18="Data Cofrestrfa Tir",'Prisiau Tai (De-ddwyrain)'!D83,'Prisiau Tai (De-ddwyrain)'!V83)</f>
        <v>318805.73144085926</v>
      </c>
      <c r="AD83" s="4">
        <f>IF('Rhaniad y Ddeiliadaeth (Cymru)'!$D$18="Data Cofrestrfa Tir",'Prisiau Tai (De-ddwyrain)'!E83,'Prisiau Tai (De-ddwyrain)'!W83)</f>
        <v>319515.56985401455</v>
      </c>
      <c r="AE83" s="4">
        <f>IF('Rhaniad y Ddeiliadaeth (Cymru)'!$D$18="Data Cofrestrfa Tir",'Prisiau Tai (De-ddwyrain)'!F83,'Prisiau Tai (De-ddwyrain)'!X83)</f>
        <v>326392.94440456491</v>
      </c>
      <c r="AF83" s="4">
        <f>IF('Rhaniad y Ddeiliadaeth (Cymru)'!$D$18="Data Cofrestrfa Tir",'Prisiau Tai (De-ddwyrain)'!G83,'Prisiau Tai (De-ddwyrain)'!Y83)</f>
        <v>339121.99784748437</v>
      </c>
      <c r="AG83" s="4">
        <f>IF('Rhaniad y Ddeiliadaeth (Cymru)'!$D$18="Data Cofrestrfa Tir",'Prisiau Tai (De-ddwyrain)'!H83,'Prisiau Tai (De-ddwyrain)'!Z83)</f>
        <v>353188.75251182332</v>
      </c>
    </row>
    <row r="84" spans="2:33" x14ac:dyDescent="0.25">
      <c r="B84" s="23">
        <v>90</v>
      </c>
      <c r="C84" s="59">
        <v>320000</v>
      </c>
      <c r="D84" s="60">
        <f>C84*(1+'Rhaniad y Ddeiliadaeth (De-ddn)'!C$118)</f>
        <v>329089.7872937902</v>
      </c>
      <c r="E84" s="60">
        <f>D84*(1+'Rhaniad y Ddeiliadaeth (De-ddn)'!D$118)</f>
        <v>329822.52372027305</v>
      </c>
      <c r="F84" s="60">
        <f>E84*(1+'Rhaniad y Ddeiliadaeth (De-ddn)'!E$118)</f>
        <v>336921.74906277662</v>
      </c>
      <c r="G84" s="60">
        <f>F84*(1+'Rhaniad y Ddeiliadaeth (De-ddn)'!F$118)</f>
        <v>350061.41713288706</v>
      </c>
      <c r="H84" s="61">
        <f>G84*(1+'Rhaniad y Ddeiliadaeth (De-ddn)'!G$118)</f>
        <v>364581.93807672086</v>
      </c>
      <c r="L84" s="63" t="str">
        <f t="shared" si="4"/>
        <v/>
      </c>
      <c r="M84" s="240"/>
      <c r="N84" s="14">
        <f t="shared" si="7"/>
        <v>1</v>
      </c>
      <c r="T84" s="1">
        <f t="shared" si="5"/>
        <v>90</v>
      </c>
      <c r="U84" s="4" t="str">
        <f t="shared" si="6"/>
        <v/>
      </c>
      <c r="V84" s="4" t="e">
        <f>IF($V$3=$M$3,M84,U84*(1+'Rhaniad y Ddeiliadaeth (Cymru)'!C$118))</f>
        <v>#VALUE!</v>
      </c>
      <c r="W84" s="4" t="e">
        <f>V84*(1+'Rhaniad y Ddeiliadaeth (Cymru)'!D$118)</f>
        <v>#VALUE!</v>
      </c>
      <c r="X84" s="4" t="e">
        <f>W84*(1+'Rhaniad y Ddeiliadaeth (Cymru)'!E$118)</f>
        <v>#VALUE!</v>
      </c>
      <c r="Y84" s="4" t="e">
        <f>X84*(1+'Rhaniad y Ddeiliadaeth (Cymru)'!F$118)</f>
        <v>#VALUE!</v>
      </c>
      <c r="Z84" s="4" t="e">
        <f>Y84*(1+'Rhaniad y Ddeiliadaeth (Cymru)'!G$118)</f>
        <v>#VALUE!</v>
      </c>
      <c r="AB84" s="1">
        <v>90</v>
      </c>
      <c r="AC84" s="4">
        <f>IF('Rhaniad y Ddeiliadaeth (Cymru)'!$D$18="Data Cofrestrfa Tir",'Prisiau Tai (De-ddwyrain)'!D84,'Prisiau Tai (De-ddwyrain)'!V84)</f>
        <v>329089.7872937902</v>
      </c>
      <c r="AD84" s="4">
        <f>IF('Rhaniad y Ddeiliadaeth (Cymru)'!$D$18="Data Cofrestrfa Tir",'Prisiau Tai (De-ddwyrain)'!E84,'Prisiau Tai (De-ddwyrain)'!W84)</f>
        <v>329822.52372027305</v>
      </c>
      <c r="AE84" s="4">
        <f>IF('Rhaniad y Ddeiliadaeth (Cymru)'!$D$18="Data Cofrestrfa Tir",'Prisiau Tai (De-ddwyrain)'!F84,'Prisiau Tai (De-ddwyrain)'!X84)</f>
        <v>336921.74906277662</v>
      </c>
      <c r="AF84" s="4">
        <f>IF('Rhaniad y Ddeiliadaeth (Cymru)'!$D$18="Data Cofrestrfa Tir",'Prisiau Tai (De-ddwyrain)'!G84,'Prisiau Tai (De-ddwyrain)'!Y84)</f>
        <v>350061.41713288706</v>
      </c>
      <c r="AG84" s="4">
        <f>IF('Rhaniad y Ddeiliadaeth (Cymru)'!$D$18="Data Cofrestrfa Tir",'Prisiau Tai (De-ddwyrain)'!H84,'Prisiau Tai (De-ddwyrain)'!Z84)</f>
        <v>364581.93807672086</v>
      </c>
    </row>
    <row r="85" spans="2:33" x14ac:dyDescent="0.25">
      <c r="N85" s="14">
        <f>IF(SUM(N4:N84)&gt;0,1,0)</f>
        <v>1</v>
      </c>
    </row>
  </sheetData>
  <sheetProtection sheet="1" objects="1" scenarios="1"/>
  <mergeCells count="3">
    <mergeCell ref="B2:H2"/>
    <mergeCell ref="J2:M2"/>
    <mergeCell ref="J9:J10"/>
  </mergeCells>
  <dataValidations count="2">
    <dataValidation type="list" allowBlank="1" showInputMessage="1" showErrorMessage="1" sqref="K4">
      <formula1>"2017,2018"</formula1>
    </dataValidation>
    <dataValidation type="decimal" operator="greaterThan" allowBlank="1" showInputMessage="1" showErrorMessage="1" sqref="M4:M84">
      <formula1>0</formula1>
    </dataValidation>
  </dataValidations>
  <pageMargins left="0.7" right="0.7" top="0.75" bottom="0.75" header="0.3" footer="0.3"/>
  <pageSetup paperSize="9" scale="44" orientation="portrait" horizontalDpi="300" verticalDpi="300"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H31"/>
  <sheetViews>
    <sheetView showGridLines="0" workbookViewId="0"/>
  </sheetViews>
  <sheetFormatPr defaultColWidth="9.140625" defaultRowHeight="15" x14ac:dyDescent="0.25"/>
  <cols>
    <col min="1" max="1" width="2.85546875" style="1" customWidth="1"/>
    <col min="2" max="2" width="41.7109375" style="1" bestFit="1" customWidth="1"/>
    <col min="3" max="3" width="29.85546875" style="1" bestFit="1" customWidth="1"/>
    <col min="4" max="8" width="13.28515625" style="1" bestFit="1" customWidth="1"/>
    <col min="9" max="16384" width="9.140625" style="1"/>
  </cols>
  <sheetData>
    <row r="2" spans="2:8" x14ac:dyDescent="0.25">
      <c r="B2" s="390" t="s">
        <v>143</v>
      </c>
      <c r="C2" s="391"/>
      <c r="D2" s="391"/>
      <c r="E2" s="391"/>
      <c r="F2" s="391"/>
      <c r="G2" s="392"/>
    </row>
    <row r="3" spans="2:8" x14ac:dyDescent="0.25">
      <c r="B3" s="393"/>
      <c r="C3" s="394"/>
      <c r="D3" s="394"/>
      <c r="E3" s="394"/>
      <c r="F3" s="394"/>
      <c r="G3" s="395"/>
    </row>
    <row r="4" spans="2:8" x14ac:dyDescent="0.25">
      <c r="B4" s="393"/>
      <c r="C4" s="394"/>
      <c r="D4" s="394"/>
      <c r="E4" s="394"/>
      <c r="F4" s="394"/>
      <c r="G4" s="395"/>
    </row>
    <row r="5" spans="2:8" x14ac:dyDescent="0.25">
      <c r="B5" s="393"/>
      <c r="C5" s="394"/>
      <c r="D5" s="394"/>
      <c r="E5" s="394"/>
      <c r="F5" s="394"/>
      <c r="G5" s="395"/>
    </row>
    <row r="6" spans="2:8" x14ac:dyDescent="0.25">
      <c r="B6" s="230"/>
      <c r="C6" s="230"/>
      <c r="D6" s="230"/>
      <c r="E6" s="230"/>
      <c r="F6" s="230"/>
      <c r="G6" s="230"/>
    </row>
    <row r="7" spans="2:8" s="3" customFormat="1" x14ac:dyDescent="0.25">
      <c r="B7" s="27" t="s">
        <v>142</v>
      </c>
      <c r="C7" s="28" t="s">
        <v>199</v>
      </c>
      <c r="D7" s="29" t="s">
        <v>0</v>
      </c>
      <c r="E7" s="29" t="s">
        <v>1</v>
      </c>
      <c r="F7" s="29" t="s">
        <v>2</v>
      </c>
      <c r="G7" s="29" t="s">
        <v>3</v>
      </c>
      <c r="H7" s="30" t="s">
        <v>4</v>
      </c>
    </row>
    <row r="8" spans="2:8" x14ac:dyDescent="0.25">
      <c r="B8" s="16" t="s">
        <v>260</v>
      </c>
      <c r="C8" s="17" t="s">
        <v>120</v>
      </c>
      <c r="D8" s="18">
        <f>'Amcanestyniadau o Aelwyd'!E3-'Amcanestyniadau o Aelwyd'!D3</f>
        <v>1381</v>
      </c>
      <c r="E8" s="18">
        <f>'Amcanestyniadau o Aelwyd'!F3-'Amcanestyniadau o Aelwyd'!E3</f>
        <v>1307</v>
      </c>
      <c r="F8" s="18">
        <f>'Amcanestyniadau o Aelwyd'!G3-'Amcanestyniadau o Aelwyd'!F3</f>
        <v>1300</v>
      </c>
      <c r="G8" s="18">
        <f>'Amcanestyniadau o Aelwyd'!H3-'Amcanestyniadau o Aelwyd'!G3</f>
        <v>1384</v>
      </c>
      <c r="H8" s="19">
        <f>'Amcanestyniadau o Aelwyd'!I3-'Amcanestyniadau o Aelwyd'!H3</f>
        <v>1307</v>
      </c>
    </row>
    <row r="9" spans="2:8" x14ac:dyDescent="0.25">
      <c r="B9" s="20" t="s">
        <v>260</v>
      </c>
      <c r="C9" s="12" t="s">
        <v>121</v>
      </c>
      <c r="D9" s="21">
        <f>'Amcanestyniadau o Aelwyd'!E4-'Amcanestyniadau o Aelwyd'!D4</f>
        <v>1784</v>
      </c>
      <c r="E9" s="21">
        <f>'Amcanestyniadau o Aelwyd'!F4-'Amcanestyniadau o Aelwyd'!E4</f>
        <v>1709</v>
      </c>
      <c r="F9" s="21">
        <f>'Amcanestyniadau o Aelwyd'!G4-'Amcanestyniadau o Aelwyd'!F4</f>
        <v>1708</v>
      </c>
      <c r="G9" s="21">
        <f>'Amcanestyniadau o Aelwyd'!H4-'Amcanestyniadau o Aelwyd'!G4</f>
        <v>1827</v>
      </c>
      <c r="H9" s="22">
        <f>'Amcanestyniadau o Aelwyd'!I4-'Amcanestyniadau o Aelwyd'!H4</f>
        <v>1702</v>
      </c>
    </row>
    <row r="10" spans="2:8" x14ac:dyDescent="0.25">
      <c r="B10" s="20" t="s">
        <v>260</v>
      </c>
      <c r="C10" s="12" t="s">
        <v>122</v>
      </c>
      <c r="D10" s="21">
        <f>'Amcanestyniadau o Aelwyd'!E5-'Amcanestyniadau o Aelwyd'!D5</f>
        <v>4054</v>
      </c>
      <c r="E10" s="21">
        <f>'Amcanestyniadau o Aelwyd'!F5-'Amcanestyniadau o Aelwyd'!E5</f>
        <v>3949</v>
      </c>
      <c r="F10" s="21">
        <f>'Amcanestyniadau o Aelwyd'!G5-'Amcanestyniadau o Aelwyd'!F5</f>
        <v>4021</v>
      </c>
      <c r="G10" s="21">
        <f>'Amcanestyniadau o Aelwyd'!H5-'Amcanestyniadau o Aelwyd'!G5</f>
        <v>4285</v>
      </c>
      <c r="H10" s="22">
        <f>'Amcanestyniadau o Aelwyd'!I5-'Amcanestyniadau o Aelwyd'!H5</f>
        <v>4109</v>
      </c>
    </row>
    <row r="11" spans="2:8" x14ac:dyDescent="0.25">
      <c r="B11" s="23" t="s">
        <v>260</v>
      </c>
      <c r="C11" s="24" t="s">
        <v>117</v>
      </c>
      <c r="D11" s="25">
        <f>'Amcanestyniadau o Aelwyd'!E6-'Amcanestyniadau o Aelwyd'!D6</f>
        <v>7219</v>
      </c>
      <c r="E11" s="25">
        <f>'Amcanestyniadau o Aelwyd'!F6-'Amcanestyniadau o Aelwyd'!E6</f>
        <v>6965</v>
      </c>
      <c r="F11" s="25">
        <f>'Amcanestyniadau o Aelwyd'!G6-'Amcanestyniadau o Aelwyd'!F6</f>
        <v>7029</v>
      </c>
      <c r="G11" s="25">
        <f>'Amcanestyniadau o Aelwyd'!H6-'Amcanestyniadau o Aelwyd'!G6</f>
        <v>7496</v>
      </c>
      <c r="H11" s="26">
        <f>'Amcanestyniadau o Aelwyd'!I6-'Amcanestyniadau o Aelwyd'!H6</f>
        <v>7118</v>
      </c>
    </row>
    <row r="12" spans="2:8" x14ac:dyDescent="0.25">
      <c r="B12" s="16" t="s">
        <v>268</v>
      </c>
      <c r="C12" s="17" t="s">
        <v>120</v>
      </c>
      <c r="D12" s="18">
        <f>'Amcanestyniadau o Aelwyd'!E7-'Amcanestyniadau o Aelwyd'!D7</f>
        <v>1522</v>
      </c>
      <c r="E12" s="18">
        <f>'Amcanestyniadau o Aelwyd'!F7-'Amcanestyniadau o Aelwyd'!E7</f>
        <v>1467</v>
      </c>
      <c r="F12" s="18">
        <f>'Amcanestyniadau o Aelwyd'!G7-'Amcanestyniadau o Aelwyd'!F7</f>
        <v>1482</v>
      </c>
      <c r="G12" s="18">
        <f>'Amcanestyniadau o Aelwyd'!H7-'Amcanestyniadau o Aelwyd'!G7</f>
        <v>1584</v>
      </c>
      <c r="H12" s="19">
        <f>'Amcanestyniadau o Aelwyd'!I7-'Amcanestyniadau o Aelwyd'!H7</f>
        <v>1534</v>
      </c>
    </row>
    <row r="13" spans="2:8" x14ac:dyDescent="0.25">
      <c r="B13" s="20" t="s">
        <v>268</v>
      </c>
      <c r="C13" s="12" t="s">
        <v>121</v>
      </c>
      <c r="D13" s="21">
        <f>'Amcanestyniadau o Aelwyd'!E8-'Amcanestyniadau o Aelwyd'!D8</f>
        <v>1959</v>
      </c>
      <c r="E13" s="21">
        <f>'Amcanestyniadau o Aelwyd'!F8-'Amcanestyniadau o Aelwyd'!E8</f>
        <v>1908</v>
      </c>
      <c r="F13" s="21">
        <f>'Amcanestyniadau o Aelwyd'!G8-'Amcanestyniadau o Aelwyd'!F8</f>
        <v>1932</v>
      </c>
      <c r="G13" s="21">
        <f>'Amcanestyniadau o Aelwyd'!H8-'Amcanestyniadau o Aelwyd'!G8</f>
        <v>2078</v>
      </c>
      <c r="H13" s="22">
        <f>'Amcanestyniadau o Aelwyd'!I8-'Amcanestyniadau o Aelwyd'!H8</f>
        <v>1985</v>
      </c>
    </row>
    <row r="14" spans="2:8" x14ac:dyDescent="0.25">
      <c r="B14" s="20" t="s">
        <v>268</v>
      </c>
      <c r="C14" s="12" t="s">
        <v>122</v>
      </c>
      <c r="D14" s="21">
        <f>'Amcanestyniadau o Aelwyd'!E9-'Amcanestyniadau o Aelwyd'!D9</f>
        <v>4369</v>
      </c>
      <c r="E14" s="21">
        <f>'Amcanestyniadau o Aelwyd'!F9-'Amcanestyniadau o Aelwyd'!E9</f>
        <v>4303</v>
      </c>
      <c r="F14" s="21">
        <f>'Amcanestyniadau o Aelwyd'!G9-'Amcanestyniadau o Aelwyd'!F9</f>
        <v>4420</v>
      </c>
      <c r="G14" s="21">
        <f>'Amcanestyniadau o Aelwyd'!H9-'Amcanestyniadau o Aelwyd'!G9</f>
        <v>4726</v>
      </c>
      <c r="H14" s="22">
        <f>'Amcanestyniadau o Aelwyd'!I9-'Amcanestyniadau o Aelwyd'!H9</f>
        <v>4606</v>
      </c>
    </row>
    <row r="15" spans="2:8" x14ac:dyDescent="0.25">
      <c r="B15" s="23" t="s">
        <v>268</v>
      </c>
      <c r="C15" s="24" t="s">
        <v>117</v>
      </c>
      <c r="D15" s="25">
        <f>'Amcanestyniadau o Aelwyd'!E10-'Amcanestyniadau o Aelwyd'!D10</f>
        <v>7850</v>
      </c>
      <c r="E15" s="25">
        <f>'Amcanestyniadau o Aelwyd'!F10-'Amcanestyniadau o Aelwyd'!E10</f>
        <v>7678</v>
      </c>
      <c r="F15" s="25">
        <f>'Amcanestyniadau o Aelwyd'!G10-'Amcanestyniadau o Aelwyd'!F10</f>
        <v>7834</v>
      </c>
      <c r="G15" s="25">
        <f>'Amcanestyniadau o Aelwyd'!H10-'Amcanestyniadau o Aelwyd'!G10</f>
        <v>8388</v>
      </c>
      <c r="H15" s="26">
        <f>'Amcanestyniadau o Aelwyd'!I10-'Amcanestyniadau o Aelwyd'!H10</f>
        <v>8125</v>
      </c>
    </row>
    <row r="16" spans="2:8" x14ac:dyDescent="0.25">
      <c r="B16" s="16" t="s">
        <v>269</v>
      </c>
      <c r="C16" s="17" t="s">
        <v>120</v>
      </c>
      <c r="D16" s="18">
        <f>'Amcanestyniadau o Aelwyd'!E11-'Amcanestyniadau o Aelwyd'!D11</f>
        <v>1122</v>
      </c>
      <c r="E16" s="18">
        <f>'Amcanestyniadau o Aelwyd'!F11-'Amcanestyniadau o Aelwyd'!E11</f>
        <v>1018</v>
      </c>
      <c r="F16" s="18">
        <f>'Amcanestyniadau o Aelwyd'!G11-'Amcanestyniadau o Aelwyd'!F11</f>
        <v>980</v>
      </c>
      <c r="G16" s="18">
        <f>'Amcanestyniadau o Aelwyd'!H11-'Amcanestyniadau o Aelwyd'!G11</f>
        <v>1028</v>
      </c>
      <c r="H16" s="19">
        <f>'Amcanestyniadau o Aelwyd'!I11-'Amcanestyniadau o Aelwyd'!H11</f>
        <v>924</v>
      </c>
    </row>
    <row r="17" spans="2:8" x14ac:dyDescent="0.25">
      <c r="B17" s="20" t="s">
        <v>269</v>
      </c>
      <c r="C17" s="12" t="s">
        <v>121</v>
      </c>
      <c r="D17" s="21">
        <f>'Amcanestyniadau o Aelwyd'!E12-'Amcanestyniadau o Aelwyd'!D12</f>
        <v>1460</v>
      </c>
      <c r="E17" s="21">
        <f>'Amcanestyniadau o Aelwyd'!F12-'Amcanestyniadau o Aelwyd'!E12</f>
        <v>1348</v>
      </c>
      <c r="F17" s="21">
        <f>'Amcanestyniadau o Aelwyd'!G12-'Amcanestyniadau o Aelwyd'!F12</f>
        <v>1306</v>
      </c>
      <c r="G17" s="21">
        <f>'Amcanestyniadau o Aelwyd'!H12-'Amcanestyniadau o Aelwyd'!G12</f>
        <v>1384</v>
      </c>
      <c r="H17" s="22">
        <f>'Amcanestyniadau o Aelwyd'!I12-'Amcanestyniadau o Aelwyd'!H12</f>
        <v>1222</v>
      </c>
    </row>
    <row r="18" spans="2:8" x14ac:dyDescent="0.25">
      <c r="B18" s="20" t="s">
        <v>269</v>
      </c>
      <c r="C18" s="12" t="s">
        <v>122</v>
      </c>
      <c r="D18" s="21">
        <f>'Amcanestyniadau o Aelwyd'!E13-'Amcanestyniadau o Aelwyd'!D13</f>
        <v>3489</v>
      </c>
      <c r="E18" s="21">
        <f>'Amcanestyniadau o Aelwyd'!F13-'Amcanestyniadau o Aelwyd'!E13</f>
        <v>3305</v>
      </c>
      <c r="F18" s="21">
        <f>'Amcanestyniadau o Aelwyd'!G13-'Amcanestyniadau o Aelwyd'!F13</f>
        <v>3301</v>
      </c>
      <c r="G18" s="21">
        <f>'Amcanestyniadau o Aelwyd'!H13-'Amcanestyniadau o Aelwyd'!G13</f>
        <v>3483</v>
      </c>
      <c r="H18" s="22">
        <f>'Amcanestyniadau o Aelwyd'!I13-'Amcanestyniadau o Aelwyd'!H13</f>
        <v>3243</v>
      </c>
    </row>
    <row r="19" spans="2:8" x14ac:dyDescent="0.25">
      <c r="B19" s="23" t="s">
        <v>269</v>
      </c>
      <c r="C19" s="24" t="s">
        <v>117</v>
      </c>
      <c r="D19" s="25">
        <f>'Amcanestyniadau o Aelwyd'!E14-'Amcanestyniadau o Aelwyd'!D14</f>
        <v>6071</v>
      </c>
      <c r="E19" s="25">
        <f>'Amcanestyniadau o Aelwyd'!F14-'Amcanestyniadau o Aelwyd'!E14</f>
        <v>5671</v>
      </c>
      <c r="F19" s="25">
        <f>'Amcanestyniadau o Aelwyd'!G14-'Amcanestyniadau o Aelwyd'!F14</f>
        <v>5587</v>
      </c>
      <c r="G19" s="25">
        <f>'Amcanestyniadau o Aelwyd'!H14-'Amcanestyniadau o Aelwyd'!G14</f>
        <v>5895</v>
      </c>
      <c r="H19" s="26">
        <f>'Amcanestyniadau o Aelwyd'!I14-'Amcanestyniadau o Aelwyd'!H14</f>
        <v>5389</v>
      </c>
    </row>
    <row r="20" spans="2:8" x14ac:dyDescent="0.25">
      <c r="B20" s="16" t="s">
        <v>266</v>
      </c>
      <c r="C20" s="17" t="s">
        <v>120</v>
      </c>
      <c r="D20" s="18">
        <f>'Amcanestyniadau o Aelwyd'!E15-'Amcanestyniadau o Aelwyd'!D15</f>
        <v>840</v>
      </c>
      <c r="E20" s="18">
        <f>'Amcanestyniadau o Aelwyd'!F15-'Amcanestyniadau o Aelwyd'!E15</f>
        <v>759</v>
      </c>
      <c r="F20" s="18">
        <f>'Amcanestyniadau o Aelwyd'!G15-'Amcanestyniadau o Aelwyd'!F15</f>
        <v>731</v>
      </c>
      <c r="G20" s="18">
        <f>'Amcanestyniadau o Aelwyd'!H15-'Amcanestyniadau o Aelwyd'!G15</f>
        <v>821</v>
      </c>
      <c r="H20" s="19">
        <f>'Amcanestyniadau o Aelwyd'!I15-'Amcanestyniadau o Aelwyd'!H15</f>
        <v>738</v>
      </c>
    </row>
    <row r="21" spans="2:8" x14ac:dyDescent="0.25">
      <c r="B21" s="20" t="s">
        <v>266</v>
      </c>
      <c r="C21" s="12" t="s">
        <v>121</v>
      </c>
      <c r="D21" s="21">
        <f>'Amcanestyniadau o Aelwyd'!E16-'Amcanestyniadau o Aelwyd'!D16</f>
        <v>1329</v>
      </c>
      <c r="E21" s="21">
        <f>'Amcanestyniadau o Aelwyd'!F16-'Amcanestyniadau o Aelwyd'!E16</f>
        <v>1169</v>
      </c>
      <c r="F21" s="21">
        <f>'Amcanestyniadau o Aelwyd'!G16-'Amcanestyniadau o Aelwyd'!F16</f>
        <v>997</v>
      </c>
      <c r="G21" s="21">
        <f>'Amcanestyniadau o Aelwyd'!H16-'Amcanestyniadau o Aelwyd'!G16</f>
        <v>1094</v>
      </c>
      <c r="H21" s="22">
        <f>'Amcanestyniadau o Aelwyd'!I16-'Amcanestyniadau o Aelwyd'!H16</f>
        <v>980</v>
      </c>
    </row>
    <row r="22" spans="2:8" x14ac:dyDescent="0.25">
      <c r="B22" s="20" t="s">
        <v>266</v>
      </c>
      <c r="C22" s="12" t="s">
        <v>122</v>
      </c>
      <c r="D22" s="21">
        <f>'Amcanestyniadau o Aelwyd'!E17-'Amcanestyniadau o Aelwyd'!D17</f>
        <v>3970</v>
      </c>
      <c r="E22" s="21">
        <f>'Amcanestyniadau o Aelwyd'!F17-'Amcanestyniadau o Aelwyd'!E17</f>
        <v>3653</v>
      </c>
      <c r="F22" s="21">
        <f>'Amcanestyniadau o Aelwyd'!G17-'Amcanestyniadau o Aelwyd'!F17</f>
        <v>3452</v>
      </c>
      <c r="G22" s="21">
        <f>'Amcanestyniadau o Aelwyd'!H17-'Amcanestyniadau o Aelwyd'!G17</f>
        <v>3650</v>
      </c>
      <c r="H22" s="22">
        <f>'Amcanestyniadau o Aelwyd'!I17-'Amcanestyniadau o Aelwyd'!H17</f>
        <v>3451</v>
      </c>
    </row>
    <row r="23" spans="2:8" x14ac:dyDescent="0.25">
      <c r="B23" s="23" t="s">
        <v>266</v>
      </c>
      <c r="C23" s="24" t="s">
        <v>117</v>
      </c>
      <c r="D23" s="25">
        <f>'Amcanestyniadau o Aelwyd'!E18-'Amcanestyniadau o Aelwyd'!D18</f>
        <v>6139</v>
      </c>
      <c r="E23" s="25">
        <f>'Amcanestyniadau o Aelwyd'!F18-'Amcanestyniadau o Aelwyd'!E18</f>
        <v>5581</v>
      </c>
      <c r="F23" s="25">
        <f>'Amcanestyniadau o Aelwyd'!G18-'Amcanestyniadau o Aelwyd'!F18</f>
        <v>5180</v>
      </c>
      <c r="G23" s="25">
        <f>'Amcanestyniadau o Aelwyd'!H18-'Amcanestyniadau o Aelwyd'!G18</f>
        <v>5565</v>
      </c>
      <c r="H23" s="26">
        <f>'Amcanestyniadau o Aelwyd'!I18-'Amcanestyniadau o Aelwyd'!H18</f>
        <v>5169</v>
      </c>
    </row>
    <row r="24" spans="2:8" x14ac:dyDescent="0.25">
      <c r="B24" s="16" t="s">
        <v>267</v>
      </c>
      <c r="C24" s="17" t="s">
        <v>120</v>
      </c>
      <c r="D24" s="18">
        <f>'Amcanestyniadau o Aelwyd'!E19-'Amcanestyniadau o Aelwyd'!D19</f>
        <v>1625</v>
      </c>
      <c r="E24" s="18">
        <f>'Amcanestyniadau o Aelwyd'!F19-'Amcanestyniadau o Aelwyd'!E19</f>
        <v>1558</v>
      </c>
      <c r="F24" s="18">
        <f>'Amcanestyniadau o Aelwyd'!G19-'Amcanestyniadau o Aelwyd'!F19</f>
        <v>1554</v>
      </c>
      <c r="G24" s="18">
        <f>'Amcanestyniadau o Aelwyd'!H19-'Amcanestyniadau o Aelwyd'!G19</f>
        <v>1644</v>
      </c>
      <c r="H24" s="19">
        <f>'Amcanestyniadau o Aelwyd'!I19-'Amcanestyniadau o Aelwyd'!H19</f>
        <v>1573</v>
      </c>
    </row>
    <row r="25" spans="2:8" x14ac:dyDescent="0.25">
      <c r="B25" s="20" t="s">
        <v>267</v>
      </c>
      <c r="C25" s="12" t="s">
        <v>121</v>
      </c>
      <c r="D25" s="21">
        <f>'Amcanestyniadau o Aelwyd'!E20-'Amcanestyniadau o Aelwyd'!D20</f>
        <v>2281</v>
      </c>
      <c r="E25" s="21">
        <f>'Amcanestyniadau o Aelwyd'!F20-'Amcanestyniadau o Aelwyd'!E20</f>
        <v>2209</v>
      </c>
      <c r="F25" s="21">
        <f>'Amcanestyniadau o Aelwyd'!G20-'Amcanestyniadau o Aelwyd'!F20</f>
        <v>2208</v>
      </c>
      <c r="G25" s="21">
        <f>'Amcanestyniadau o Aelwyd'!H20-'Amcanestyniadau o Aelwyd'!G20</f>
        <v>2333</v>
      </c>
      <c r="H25" s="22">
        <f>'Amcanestyniadau o Aelwyd'!I20-'Amcanestyniadau o Aelwyd'!H20</f>
        <v>2216</v>
      </c>
    </row>
    <row r="26" spans="2:8" x14ac:dyDescent="0.25">
      <c r="B26" s="20" t="s">
        <v>267</v>
      </c>
      <c r="C26" s="12" t="s">
        <v>122</v>
      </c>
      <c r="D26" s="21">
        <f>'Amcanestyniadau o Aelwyd'!E21-'Amcanestyniadau o Aelwyd'!D21</f>
        <v>4641</v>
      </c>
      <c r="E26" s="21">
        <f>'Amcanestyniadau o Aelwyd'!F21-'Amcanestyniadau o Aelwyd'!E21</f>
        <v>4550</v>
      </c>
      <c r="F26" s="21">
        <f>'Amcanestyniadau o Aelwyd'!G21-'Amcanestyniadau o Aelwyd'!F21</f>
        <v>4631</v>
      </c>
      <c r="G26" s="21">
        <f>'Amcanestyniadau o Aelwyd'!H21-'Amcanestyniadau o Aelwyd'!G21</f>
        <v>4908</v>
      </c>
      <c r="H26" s="22">
        <f>'Amcanestyniadau o Aelwyd'!I21-'Amcanestyniadau o Aelwyd'!H21</f>
        <v>4749</v>
      </c>
    </row>
    <row r="27" spans="2:8" x14ac:dyDescent="0.25">
      <c r="B27" s="20" t="s">
        <v>267</v>
      </c>
      <c r="C27" s="24" t="s">
        <v>117</v>
      </c>
      <c r="D27" s="21">
        <f>'Amcanestyniadau o Aelwyd'!E22-'Amcanestyniadau o Aelwyd'!D22</f>
        <v>8547</v>
      </c>
      <c r="E27" s="21">
        <f>'Amcanestyniadau o Aelwyd'!F22-'Amcanestyniadau o Aelwyd'!E22</f>
        <v>8317</v>
      </c>
      <c r="F27" s="21">
        <f>'Amcanestyniadau o Aelwyd'!G22-'Amcanestyniadau o Aelwyd'!F22</f>
        <v>8393</v>
      </c>
      <c r="G27" s="21">
        <f>'Amcanestyniadau o Aelwyd'!H22-'Amcanestyniadau o Aelwyd'!G22</f>
        <v>8885</v>
      </c>
      <c r="H27" s="22">
        <f>'Amcanestyniadau o Aelwyd'!I22-'Amcanestyniadau o Aelwyd'!H22</f>
        <v>8538</v>
      </c>
    </row>
    <row r="28" spans="2:8" x14ac:dyDescent="0.25">
      <c r="B28" s="32" t="s">
        <v>261</v>
      </c>
      <c r="C28" s="17" t="s">
        <v>120</v>
      </c>
      <c r="D28" s="18">
        <f>'Amcanestyniadau o Aelwyd'!E23-'Amcanestyniadau o Aelwyd'!D23</f>
        <v>0</v>
      </c>
      <c r="E28" s="18">
        <f>'Amcanestyniadau o Aelwyd'!F23-'Amcanestyniadau o Aelwyd'!E23</f>
        <v>0</v>
      </c>
      <c r="F28" s="18">
        <f>'Amcanestyniadau o Aelwyd'!G23-'Amcanestyniadau o Aelwyd'!F23</f>
        <v>0</v>
      </c>
      <c r="G28" s="18">
        <f>'Amcanestyniadau o Aelwyd'!H23-'Amcanestyniadau o Aelwyd'!G23</f>
        <v>0</v>
      </c>
      <c r="H28" s="19">
        <f>'Amcanestyniadau o Aelwyd'!I23-'Amcanestyniadau o Aelwyd'!H23</f>
        <v>0</v>
      </c>
    </row>
    <row r="29" spans="2:8" x14ac:dyDescent="0.25">
      <c r="B29" s="31" t="s">
        <v>261</v>
      </c>
      <c r="C29" s="12" t="s">
        <v>121</v>
      </c>
      <c r="D29" s="21">
        <f>'Amcanestyniadau o Aelwyd'!E24-'Amcanestyniadau o Aelwyd'!D24</f>
        <v>0</v>
      </c>
      <c r="E29" s="21">
        <f>'Amcanestyniadau o Aelwyd'!F24-'Amcanestyniadau o Aelwyd'!E24</f>
        <v>0</v>
      </c>
      <c r="F29" s="21">
        <f>'Amcanestyniadau o Aelwyd'!G24-'Amcanestyniadau o Aelwyd'!F24</f>
        <v>0</v>
      </c>
      <c r="G29" s="21">
        <f>'Amcanestyniadau o Aelwyd'!H24-'Amcanestyniadau o Aelwyd'!G24</f>
        <v>0</v>
      </c>
      <c r="H29" s="22">
        <f>'Amcanestyniadau o Aelwyd'!I24-'Amcanestyniadau o Aelwyd'!H24</f>
        <v>0</v>
      </c>
    </row>
    <row r="30" spans="2:8" x14ac:dyDescent="0.25">
      <c r="B30" s="31" t="s">
        <v>261</v>
      </c>
      <c r="C30" s="12" t="s">
        <v>122</v>
      </c>
      <c r="D30" s="21">
        <f>'Amcanestyniadau o Aelwyd'!E25-'Amcanestyniadau o Aelwyd'!D25</f>
        <v>0</v>
      </c>
      <c r="E30" s="21">
        <f>'Amcanestyniadau o Aelwyd'!F25-'Amcanestyniadau o Aelwyd'!E25</f>
        <v>0</v>
      </c>
      <c r="F30" s="21">
        <f>'Amcanestyniadau o Aelwyd'!G25-'Amcanestyniadau o Aelwyd'!F25</f>
        <v>0</v>
      </c>
      <c r="G30" s="21">
        <f>'Amcanestyniadau o Aelwyd'!H25-'Amcanestyniadau o Aelwyd'!G25</f>
        <v>0</v>
      </c>
      <c r="H30" s="22">
        <f>'Amcanestyniadau o Aelwyd'!I25-'Amcanestyniadau o Aelwyd'!H25</f>
        <v>0</v>
      </c>
    </row>
    <row r="31" spans="2:8" x14ac:dyDescent="0.25">
      <c r="B31" s="33" t="s">
        <v>261</v>
      </c>
      <c r="C31" s="24" t="s">
        <v>117</v>
      </c>
      <c r="D31" s="25">
        <f>'Amcanestyniadau o Aelwyd'!E26-'Amcanestyniadau o Aelwyd'!D26</f>
        <v>0</v>
      </c>
      <c r="E31" s="25">
        <f>'Amcanestyniadau o Aelwyd'!F26-'Amcanestyniadau o Aelwyd'!E26</f>
        <v>0</v>
      </c>
      <c r="F31" s="25">
        <f>'Amcanestyniadau o Aelwyd'!G26-'Amcanestyniadau o Aelwyd'!F26</f>
        <v>0</v>
      </c>
      <c r="G31" s="25">
        <f>'Amcanestyniadau o Aelwyd'!H26-'Amcanestyniadau o Aelwyd'!G26</f>
        <v>0</v>
      </c>
      <c r="H31" s="26">
        <f>'Amcanestyniadau o Aelwyd'!I26-'Amcanestyniadau o Aelwyd'!H26</f>
        <v>0</v>
      </c>
    </row>
  </sheetData>
  <sheetProtection sheet="1" objects="1" scenarios="1"/>
  <mergeCells count="1">
    <mergeCell ref="B2:G5"/>
  </mergeCells>
  <pageMargins left="0.7" right="0.7" top="0.75" bottom="0.75" header="0.3" footer="0.3"/>
  <pageSetup paperSize="9" scale="66" orientation="portrait" horizontalDpi="300" verticalDpi="300"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showGridLines="0" zoomScale="85" zoomScaleNormal="85" workbookViewId="0"/>
  </sheetViews>
  <sheetFormatPr defaultRowHeight="15" x14ac:dyDescent="0.25"/>
  <sheetData/>
  <pageMargins left="0.7" right="0.7" top="0.75" bottom="0.75" header="0.3" footer="0.3"/>
  <pageSetup paperSize="9" scale="61" orientation="portrait"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A26272706</value>
    </field>
    <field name="Objective-Title">
      <value order="0">CYMRAEG Phase 2 - Draft Excel Tool v0.8</value>
    </field>
    <field name="Objective-Description">
      <value order="0"/>
    </field>
    <field name="Objective-CreationStamp">
      <value order="0">2019-05-17T13:54:28Z</value>
    </field>
    <field name="Objective-IsApproved">
      <value order="0">false</value>
    </field>
    <field name="Objective-IsPublished">
      <value order="0">false</value>
    </field>
    <field name="Objective-DatePublished">
      <value order="0"/>
    </field>
    <field name="Objective-ModificationStamp">
      <value order="0">2019-05-31T11:12:27Z</value>
    </field>
    <field name="Objective-Owner">
      <value order="0">Davies, Sian (KAS)</value>
    </field>
    <field name="Objective-Path">
      <value order="0">Objective Global Folder:Classified Object:Davies, Sian (KAS):Misc Translations</value>
    </field>
    <field name="Objective-Parent">
      <value order="0">Misc Translations</value>
    </field>
    <field name="Objective-State">
      <value order="0">Being Edited</value>
    </field>
    <field name="Objective-VersionId">
      <value order="0">vA52451463</value>
    </field>
    <field name="Objective-Version">
      <value order="0">10.5</value>
    </field>
    <field name="Objective-VersionNumber">
      <value order="0">16</value>
    </field>
    <field name="Objective-VersionComment">
      <value order="0"/>
    </field>
    <field name="Objective-FileNumber">
      <value order="0"/>
    </field>
    <field name="Objective-Classification">
      <value order="0">Official - Sensitive</value>
    </field>
    <field name="Objective-Caveats">
      <value order="0"/>
    </field>
  </systemFields>
  <catalogues>
    <catalogue name="Document Type Catalogue" type="type" ori="id:cA14">
      <field name="Objective-Language">
        <value order="0">English (eng)</value>
      </field>
      <field name="Objective-Date Acquired">
        <value order="0"/>
      </field>
      <field name="Objective-What to Keep">
        <value order="0">No</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26</vt:i4>
      </vt:variant>
    </vt:vector>
  </HeadingPairs>
  <TitlesOfParts>
    <vt:vector size="26" baseType="lpstr">
      <vt:lpstr>Tudalen Flaen</vt:lpstr>
      <vt:lpstr>Canllawiau ar Newidynnau</vt:lpstr>
      <vt:lpstr>Cyngor</vt:lpstr>
      <vt:lpstr>Rhaniad y Ddeiliadaeth (Cymru)</vt:lpstr>
      <vt:lpstr>Rhaniad y Ddeiliadaeth (Gog)</vt:lpstr>
      <vt:lpstr>Rhaniad y Ddeiliadaeth (C&amp;De-o)</vt:lpstr>
      <vt:lpstr>Rhaniad y Ddeiliadaeth (De-ddn)</vt:lpstr>
      <vt:lpstr>Cyfrifiadau - Cymru</vt:lpstr>
      <vt:lpstr>Cyfrifiadau - Gogledd</vt:lpstr>
      <vt:lpstr>Cyfrifiadau - Canol. &amp; De-orll</vt:lpstr>
      <vt:lpstr>Cyfrifiadau - De-ddwyrain</vt:lpstr>
      <vt:lpstr>Amcanestyniadau o Aelwyd</vt:lpstr>
      <vt:lpstr>Rhagdybiaeth Blynyddol</vt:lpstr>
      <vt:lpstr>Rhagolygon y Dyfodol</vt:lpstr>
      <vt:lpstr>Angen Presennol Nas Diwallwyd</vt:lpstr>
      <vt:lpstr>Prisiau Rhenti</vt:lpstr>
      <vt:lpstr>Incwm (Cymru)</vt:lpstr>
      <vt:lpstr>Incwm (Gogledd)</vt:lpstr>
      <vt:lpstr>Incwm (Canol. &amp; De-orll)</vt:lpstr>
      <vt:lpstr>Incwm (De-ddwyrain)</vt:lpstr>
      <vt:lpstr>Prisiau Tai (Cymru)</vt:lpstr>
      <vt:lpstr>Prisiau Tai (Gogledd)</vt:lpstr>
      <vt:lpstr>Prisiau Tai (Canol. &amp; De-orll)</vt:lpstr>
      <vt:lpstr>Prisiau Tai (De-ddwyrain)</vt:lpstr>
      <vt:lpstr>Angen Sydd Newydd Ymddangos</vt:lpstr>
      <vt:lpstr>Map Rhanbarthol</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Brown, Melanie</dc:creator>
  <cp:lastModifiedBy>Brown, Melanie (KAS)</cp:lastModifiedBy>
  <cp:lastPrinted>2019-05-22T15:48:33Z</cp:lastPrinted>
  <dcterms:created xsi:type="dcterms:W3CDTF">2019-04-01T08:39:45Z</dcterms:created>
  <dcterms:modified xsi:type="dcterms:W3CDTF">2019-06-04T12:05:15Z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A26272706</vt:lpwstr>
  </property>
  <property fmtid="{D5CDD505-2E9C-101B-9397-08002B2CF9AE}" pid="4" name="Objective-Title">
    <vt:lpwstr>CYMRAEG Phase 2 - Draft Excel Tool v0.8</vt:lpwstr>
  </property>
  <property fmtid="{D5CDD505-2E9C-101B-9397-08002B2CF9AE}" pid="5" name="Objective-Description">
    <vt:lpwstr/>
  </property>
  <property fmtid="{D5CDD505-2E9C-101B-9397-08002B2CF9AE}" pid="6" name="Objective-CreationStamp">
    <vt:filetime>2019-05-17T13:54:38Z</vt:filetime>
  </property>
  <property fmtid="{D5CDD505-2E9C-101B-9397-08002B2CF9AE}" pid="7" name="Objective-IsApproved">
    <vt:bool>false</vt:bool>
  </property>
  <property fmtid="{D5CDD505-2E9C-101B-9397-08002B2CF9AE}" pid="8" name="Objective-IsPublished">
    <vt:bool>false</vt:bool>
  </property>
  <property fmtid="{D5CDD505-2E9C-101B-9397-08002B2CF9AE}" pid="9" name="Objective-DatePublished">
    <vt:lpwstr/>
  </property>
  <property fmtid="{D5CDD505-2E9C-101B-9397-08002B2CF9AE}" pid="10" name="Objective-ModificationStamp">
    <vt:filetime>2019-05-31T11:13:22Z</vt:filetime>
  </property>
  <property fmtid="{D5CDD505-2E9C-101B-9397-08002B2CF9AE}" pid="11" name="Objective-Owner">
    <vt:lpwstr>Davies, Sian (KAS)</vt:lpwstr>
  </property>
  <property fmtid="{D5CDD505-2E9C-101B-9397-08002B2CF9AE}" pid="12" name="Objective-Path">
    <vt:lpwstr>Davies, Sian (KAS):Misc Translations:</vt:lpwstr>
  </property>
  <property fmtid="{D5CDD505-2E9C-101B-9397-08002B2CF9AE}" pid="13" name="Objective-Parent">
    <vt:lpwstr>Misc Translations</vt:lpwstr>
  </property>
  <property fmtid="{D5CDD505-2E9C-101B-9397-08002B2CF9AE}" pid="14" name="Objective-State">
    <vt:lpwstr>Being Drafted</vt:lpwstr>
  </property>
  <property fmtid="{D5CDD505-2E9C-101B-9397-08002B2CF9AE}" pid="15" name="Objective-VersionId">
    <vt:lpwstr>vA52451463</vt:lpwstr>
  </property>
  <property fmtid="{D5CDD505-2E9C-101B-9397-08002B2CF9AE}" pid="16" name="Objective-Version">
    <vt:lpwstr>10.5</vt:lpwstr>
  </property>
  <property fmtid="{D5CDD505-2E9C-101B-9397-08002B2CF9AE}" pid="17" name="Objective-VersionNumber">
    <vt:r8>16</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 - Sensitive]</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lpwstr/>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y fmtid="{D5CDD505-2E9C-101B-9397-08002B2CF9AE}" pid="28" name="Objective-Language [system]">
    <vt:lpwstr>English (eng)</vt:lpwstr>
  </property>
  <property fmtid="{D5CDD505-2E9C-101B-9397-08002B2CF9AE}" pid="29" name="Objective-Date Acquired [system]">
    <vt:lpwstr/>
  </property>
  <property fmtid="{D5CDD505-2E9C-101B-9397-08002B2CF9AE}" pid="30" name="Objective-What to Keep [system]">
    <vt:lpwstr>No</vt:lpwstr>
  </property>
  <property fmtid="{D5CDD505-2E9C-101B-9397-08002B2CF9AE}" pid="31" name="Objective-Official Translation [system]">
    <vt:lpwstr/>
  </property>
  <property fmtid="{D5CDD505-2E9C-101B-9397-08002B2CF9AE}" pid="32" name="Objective-Connect Creator [system]">
    <vt:lpwstr/>
  </property>
</Properties>
</file>