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claudia_cahalane_gov_wales/Documents/Profile/Documents/"/>
    </mc:Choice>
  </mc:AlternateContent>
  <bookViews>
    <workbookView xWindow="40" yWindow="0" windowWidth="14160" windowHeight="6410" firstSheet="2" activeTab="15"/>
  </bookViews>
  <sheets>
    <sheet name="Contents" sheetId="54" r:id="rId1"/>
    <sheet name="Summary Revenue" sheetId="30" r:id="rId2"/>
    <sheet name="A1" sheetId="2" r:id="rId3"/>
    <sheet name="A2" sheetId="97" r:id="rId4"/>
    <sheet name="A3" sheetId="164" r:id="rId5"/>
    <sheet name="B1" sheetId="5" r:id="rId6"/>
    <sheet name="B2" sheetId="140" r:id="rId7"/>
    <sheet name="C" sheetId="153" r:id="rId8"/>
    <sheet name="E" sheetId="154" r:id="rId9"/>
    <sheet name="F" sheetId="155" r:id="rId10"/>
    <sheet name="Table 1" sheetId="138" r:id="rId11"/>
    <sheet name="Table 2" sheetId="149" r:id="rId12"/>
    <sheet name="Table 3" sheetId="168" r:id="rId13"/>
    <sheet name="Table 4" sheetId="162" r:id="rId14"/>
    <sheet name="Table 5" sheetId="167" r:id="rId15"/>
    <sheet name="Summary Capital" sheetId="170" r:id="rId16"/>
  </sheets>
  <externalReferences>
    <externalReference r:id="rId17"/>
  </externalReferences>
  <definedNames>
    <definedName name="_xlnm.Print_Area" localSheetId="2">'A1'!$A$1:$F$23</definedName>
    <definedName name="_xlnm.Print_Area" localSheetId="3">'A2'!$A$1:$N$26</definedName>
    <definedName name="_xlnm.Print_Area" localSheetId="4">'A3'!$A$1:$M$28</definedName>
    <definedName name="_xlnm.Print_Area" localSheetId="5">'B1'!$A$1:$S$26</definedName>
    <definedName name="_xlnm.Print_Area" localSheetId="6">'B2'!$A$1:$AI$24</definedName>
    <definedName name="_xlnm.Print_Area" localSheetId="7">'C'!$A$1:$J$26</definedName>
    <definedName name="_xlnm.Print_Area" localSheetId="8">E!$A$1:$J$24</definedName>
    <definedName name="_xlnm.Print_Area" localSheetId="9">F!$A$1:$I$27</definedName>
    <definedName name="_xlnm.Print_Area" localSheetId="15">'Summary Capital'!$A$3:$C$43</definedName>
    <definedName name="_xlnm.Print_Area" localSheetId="1">'Summary Revenue'!$A$1:$I$23</definedName>
    <definedName name="_xlnm.Print_Area" localSheetId="10">'Table 1'!$A$1:$E$25</definedName>
    <definedName name="_xlnm.Print_Area" localSheetId="11">'Table 2'!$A$1:$M$25</definedName>
    <definedName name="_xlnm.Print_Area" localSheetId="12">'Table 3'!$A$1:$BW$45</definedName>
    <definedName name="_xlnm.Print_Area" localSheetId="13">'Table 4'!$A$1:$U$92</definedName>
    <definedName name="_xlnm.Print_Area" localSheetId="14">'Table 5'!$A$1:$M$27</definedName>
    <definedName name="Transitional" localSheetId="4">'[1]Chemist_Data workings'!#REF!</definedName>
    <definedName name="Transitional" localSheetId="8">#REF!</definedName>
    <definedName name="Transitional" localSheetId="15">'[1]Chemist_Data workings'!#REF!</definedName>
    <definedName name="Transitional" localSheetId="14">'[1]Chemist_Data workings'!#REF!</definedName>
    <definedName name="Transitional">'[1]Chemist_Data workings'!#REF!</definedName>
    <definedName name="Z_92B97691_A213_481E_9B20_3BF43CB76868_.wvu.PrintArea" localSheetId="3" hidden="1">'A2'!$A$1:$N$16</definedName>
    <definedName name="Z_92B97691_A213_481E_9B20_3BF43CB76868_.wvu.PrintArea" localSheetId="4" hidden="1">'A3'!$A$1:$L$16</definedName>
  </definedNames>
  <calcPr calcId="162913"/>
  <customWorkbookViews>
    <customWorkbookView name="Gavin Lewis - Personal View" guid="{92B97691-A213-481E-9B20-3BF43CB76868}" mergeInterval="0" personalView="1" maximized="1" windowWidth="796" windowHeight="432" tabRatio="921" activeSheetId="16" showComments="commIndAndComment"/>
  </customWorkbookViews>
</workbook>
</file>

<file path=xl/calcChain.xml><?xml version="1.0" encoding="utf-8"?>
<calcChain xmlns="http://schemas.openxmlformats.org/spreadsheetml/2006/main">
  <c r="D5" i="153" l="1"/>
  <c r="E5" i="153"/>
  <c r="F5" i="153"/>
  <c r="G5" i="153"/>
  <c r="H5" i="153"/>
  <c r="I5" i="153"/>
  <c r="Q20" i="5"/>
  <c r="Q18" i="5"/>
  <c r="Q16" i="5"/>
  <c r="Q14" i="5"/>
  <c r="Q12" i="5"/>
  <c r="Q10" i="5"/>
  <c r="Q8" i="5"/>
  <c r="E21" i="154"/>
  <c r="F19" i="154"/>
  <c r="F17" i="154"/>
  <c r="F15" i="154"/>
  <c r="F13" i="154"/>
  <c r="F11" i="154"/>
  <c r="F9" i="154"/>
  <c r="F7" i="154"/>
  <c r="AE4" i="140"/>
  <c r="AF4" i="140"/>
  <c r="AG4" i="140"/>
  <c r="AH4" i="140"/>
  <c r="D3" i="164"/>
  <c r="E3" i="164"/>
  <c r="F3" i="164"/>
  <c r="G3" i="164"/>
  <c r="H3" i="164"/>
  <c r="I3" i="164"/>
  <c r="J3" i="164"/>
  <c r="K3" i="164"/>
  <c r="L3" i="164"/>
  <c r="J3" i="97"/>
  <c r="K3" i="97"/>
  <c r="L3" i="97"/>
  <c r="M3" i="97"/>
  <c r="X8" i="140"/>
  <c r="BO26" i="168"/>
  <c r="BO36" i="168"/>
  <c r="BP26" i="168"/>
  <c r="BP36" i="168"/>
  <c r="BQ4" i="168"/>
  <c r="BR4" i="168"/>
  <c r="BO4" i="168"/>
  <c r="BP4" i="168"/>
  <c r="D21" i="164"/>
  <c r="L21" i="97"/>
  <c r="AF22" i="140"/>
  <c r="G21" i="164"/>
  <c r="H21" i="164"/>
  <c r="I21" i="164"/>
  <c r="J21" i="164"/>
  <c r="Q18" i="140"/>
  <c r="B28" i="170"/>
  <c r="B42" i="170" s="1"/>
  <c r="B40" i="170"/>
  <c r="C4" i="167"/>
  <c r="D4" i="167"/>
  <c r="E4" i="167"/>
  <c r="F4" i="167"/>
  <c r="G4" i="167"/>
  <c r="H4" i="167"/>
  <c r="I4" i="167"/>
  <c r="J4" i="167"/>
  <c r="K4" i="167"/>
  <c r="L4" i="167"/>
  <c r="F8" i="167"/>
  <c r="L8" i="167"/>
  <c r="L10" i="167"/>
  <c r="L12" i="167"/>
  <c r="B14" i="167"/>
  <c r="C14" i="167"/>
  <c r="E14" i="167"/>
  <c r="H14" i="167"/>
  <c r="L14" i="167"/>
  <c r="F16" i="167"/>
  <c r="L16" i="167"/>
  <c r="F18" i="167"/>
  <c r="L18" i="167"/>
  <c r="B20" i="167"/>
  <c r="C20" i="167"/>
  <c r="E20" i="167"/>
  <c r="H20" i="167"/>
  <c r="L20" i="167"/>
  <c r="B22" i="167"/>
  <c r="C22" i="167"/>
  <c r="D22" i="167"/>
  <c r="E22" i="167"/>
  <c r="F22" i="167"/>
  <c r="G22" i="167"/>
  <c r="H22" i="167"/>
  <c r="I22" i="167"/>
  <c r="J22" i="167"/>
  <c r="K22" i="167"/>
  <c r="L22" i="167"/>
  <c r="B3" i="162"/>
  <c r="B28" i="162"/>
  <c r="U28" i="162" s="1"/>
  <c r="D28" i="162"/>
  <c r="D39" i="162" s="1"/>
  <c r="D45" i="162" s="1"/>
  <c r="D52" i="162" s="1"/>
  <c r="D60" i="162" s="1"/>
  <c r="D62" i="162" s="1"/>
  <c r="H28" i="162"/>
  <c r="H39" i="162" s="1"/>
  <c r="H45" i="162" s="1"/>
  <c r="H52" i="162" s="1"/>
  <c r="H60" i="162" s="1"/>
  <c r="H62" i="162" s="1"/>
  <c r="J28" i="162"/>
  <c r="L28" i="162"/>
  <c r="N28" i="162"/>
  <c r="U29" i="162"/>
  <c r="U30" i="162"/>
  <c r="B31" i="162"/>
  <c r="U31" i="162" s="1"/>
  <c r="J31" i="162"/>
  <c r="J39" i="162" s="1"/>
  <c r="J45" i="162" s="1"/>
  <c r="J52" i="162" s="1"/>
  <c r="J60" i="162" s="1"/>
  <c r="J62" i="162" s="1"/>
  <c r="B32" i="162"/>
  <c r="H32" i="162"/>
  <c r="J32" i="162"/>
  <c r="U32" i="162"/>
  <c r="U33" i="162"/>
  <c r="U34" i="162"/>
  <c r="B35" i="162"/>
  <c r="U35" i="162" s="1"/>
  <c r="J35" i="162"/>
  <c r="L35" i="162"/>
  <c r="U36" i="162"/>
  <c r="U37" i="162"/>
  <c r="U38" i="162"/>
  <c r="B39" i="162"/>
  <c r="B45" i="162" s="1"/>
  <c r="F39" i="162"/>
  <c r="L39" i="162"/>
  <c r="N39" i="162"/>
  <c r="N45" i="162" s="1"/>
  <c r="N52" i="162" s="1"/>
  <c r="N60" i="162" s="1"/>
  <c r="N62" i="162" s="1"/>
  <c r="P39" i="162"/>
  <c r="P45" i="162" s="1"/>
  <c r="P52" i="162" s="1"/>
  <c r="P60" i="162" s="1"/>
  <c r="P62" i="162" s="1"/>
  <c r="Q39" i="162"/>
  <c r="Q45" i="162" s="1"/>
  <c r="Q52" i="162" s="1"/>
  <c r="Q60" i="162" s="1"/>
  <c r="Q62" i="162" s="1"/>
  <c r="R39" i="162"/>
  <c r="S39" i="162"/>
  <c r="T39" i="162"/>
  <c r="B41" i="162"/>
  <c r="J41" i="162"/>
  <c r="U41" i="162"/>
  <c r="U42" i="162"/>
  <c r="B43" i="162"/>
  <c r="U43" i="162" s="1"/>
  <c r="J43" i="162"/>
  <c r="B44" i="162"/>
  <c r="J44" i="162"/>
  <c r="U44" i="162"/>
  <c r="C45" i="162"/>
  <c r="C52" i="162" s="1"/>
  <c r="C60" i="162" s="1"/>
  <c r="C62" i="162" s="1"/>
  <c r="E45" i="162"/>
  <c r="F45" i="162"/>
  <c r="G45" i="162"/>
  <c r="I45" i="162"/>
  <c r="I52" i="162" s="1"/>
  <c r="I60" i="162" s="1"/>
  <c r="I62" i="162" s="1"/>
  <c r="K45" i="162"/>
  <c r="K52" i="162" s="1"/>
  <c r="K60" i="162" s="1"/>
  <c r="K62" i="162" s="1"/>
  <c r="L45" i="162"/>
  <c r="M45" i="162"/>
  <c r="O45" i="162"/>
  <c r="R45" i="162"/>
  <c r="R52" i="162" s="1"/>
  <c r="R60" i="162" s="1"/>
  <c r="R62" i="162" s="1"/>
  <c r="R91" i="162" s="1"/>
  <c r="S45" i="162"/>
  <c r="S52" i="162" s="1"/>
  <c r="S60" i="162" s="1"/>
  <c r="S62" i="162" s="1"/>
  <c r="T45" i="162"/>
  <c r="B47" i="162"/>
  <c r="J47" i="162"/>
  <c r="U47" i="162"/>
  <c r="B48" i="162"/>
  <c r="J48" i="162"/>
  <c r="U48" i="162"/>
  <c r="U49" i="162"/>
  <c r="U50" i="162"/>
  <c r="U51" i="162"/>
  <c r="E52" i="162"/>
  <c r="E60" i="162" s="1"/>
  <c r="E62" i="162" s="1"/>
  <c r="F52" i="162"/>
  <c r="F60" i="162" s="1"/>
  <c r="F62" i="162" s="1"/>
  <c r="G52" i="162"/>
  <c r="L52" i="162"/>
  <c r="L60" i="162" s="1"/>
  <c r="L62" i="162" s="1"/>
  <c r="M52" i="162"/>
  <c r="M60" i="162" s="1"/>
  <c r="M62" i="162" s="1"/>
  <c r="O52" i="162"/>
  <c r="T52" i="162"/>
  <c r="T60" i="162" s="1"/>
  <c r="T62" i="162" s="1"/>
  <c r="B55" i="162"/>
  <c r="U55" i="162" s="1"/>
  <c r="J55" i="162"/>
  <c r="U56" i="162"/>
  <c r="U57" i="162"/>
  <c r="U58" i="162"/>
  <c r="B59" i="162"/>
  <c r="J59" i="162"/>
  <c r="U59" i="162"/>
  <c r="G60" i="162"/>
  <c r="G62" i="162" s="1"/>
  <c r="O60" i="162"/>
  <c r="O62" i="162" s="1"/>
  <c r="U61" i="162"/>
  <c r="U65" i="162"/>
  <c r="B66" i="162"/>
  <c r="B76" i="162" s="1"/>
  <c r="D66" i="162"/>
  <c r="H66" i="162"/>
  <c r="H76" i="162" s="1"/>
  <c r="H81" i="162" s="1"/>
  <c r="H84" i="162" s="1"/>
  <c r="H88" i="162" s="1"/>
  <c r="H91" i="162" s="1"/>
  <c r="B11" i="162" s="1"/>
  <c r="C12" i="5" s="1"/>
  <c r="R12" i="5" s="1"/>
  <c r="C13" i="30" s="1"/>
  <c r="E13" i="30" s="1"/>
  <c r="I13" i="30" s="1"/>
  <c r="J66" i="162"/>
  <c r="U66" i="162" s="1"/>
  <c r="L66" i="162"/>
  <c r="L76" i="162" s="1"/>
  <c r="L81" i="162" s="1"/>
  <c r="L84" i="162" s="1"/>
  <c r="L88" i="162" s="1"/>
  <c r="N66" i="162"/>
  <c r="U67" i="162"/>
  <c r="U68" i="162"/>
  <c r="B69" i="162"/>
  <c r="H69" i="162"/>
  <c r="J69" i="162"/>
  <c r="U69" i="162"/>
  <c r="H70" i="162"/>
  <c r="U70" i="162" s="1"/>
  <c r="J70" i="162"/>
  <c r="U71" i="162"/>
  <c r="U72" i="162"/>
  <c r="B73" i="162"/>
  <c r="J73" i="162"/>
  <c r="U73" i="162"/>
  <c r="B74" i="162"/>
  <c r="U74" i="162" s="1"/>
  <c r="J74" i="162"/>
  <c r="U75" i="162"/>
  <c r="C76" i="162"/>
  <c r="C81" i="162" s="1"/>
  <c r="C84" i="162" s="1"/>
  <c r="C88" i="162" s="1"/>
  <c r="D76" i="162"/>
  <c r="D81" i="162" s="1"/>
  <c r="D84" i="162" s="1"/>
  <c r="D88" i="162" s="1"/>
  <c r="E76" i="162"/>
  <c r="E81" i="162" s="1"/>
  <c r="E84" i="162" s="1"/>
  <c r="E88" i="162" s="1"/>
  <c r="F76" i="162"/>
  <c r="F81" i="162" s="1"/>
  <c r="F84" i="162" s="1"/>
  <c r="F88" i="162" s="1"/>
  <c r="F91" i="162" s="1"/>
  <c r="B9" i="162" s="1"/>
  <c r="C10" i="5" s="1"/>
  <c r="G76" i="162"/>
  <c r="I76" i="162"/>
  <c r="K76" i="162"/>
  <c r="K81" i="162" s="1"/>
  <c r="K84" i="162" s="1"/>
  <c r="K88" i="162" s="1"/>
  <c r="M76" i="162"/>
  <c r="M81" i="162" s="1"/>
  <c r="M84" i="162" s="1"/>
  <c r="M88" i="162" s="1"/>
  <c r="N76" i="162"/>
  <c r="N81" i="162" s="1"/>
  <c r="N84" i="162" s="1"/>
  <c r="N88" i="162" s="1"/>
  <c r="O76" i="162"/>
  <c r="P76" i="162"/>
  <c r="Q76" i="162"/>
  <c r="R76" i="162"/>
  <c r="S76" i="162"/>
  <c r="S81" i="162" s="1"/>
  <c r="S84" i="162" s="1"/>
  <c r="S88" i="162" s="1"/>
  <c r="S91" i="162" s="1"/>
  <c r="T76" i="162"/>
  <c r="T81" i="162" s="1"/>
  <c r="T84" i="162" s="1"/>
  <c r="T88" i="162" s="1"/>
  <c r="T91" i="162" s="1"/>
  <c r="U77" i="162"/>
  <c r="B78" i="162"/>
  <c r="U78" i="162" s="1"/>
  <c r="J78" i="162"/>
  <c r="B79" i="162"/>
  <c r="J79" i="162"/>
  <c r="U79" i="162"/>
  <c r="B80" i="162"/>
  <c r="U80" i="162" s="1"/>
  <c r="J80" i="162"/>
  <c r="G81" i="162"/>
  <c r="I81" i="162"/>
  <c r="O81" i="162"/>
  <c r="P81" i="162"/>
  <c r="Q81" i="162"/>
  <c r="R81" i="162"/>
  <c r="U82" i="162"/>
  <c r="B83" i="162"/>
  <c r="U83" i="162" s="1"/>
  <c r="J83" i="162"/>
  <c r="G84" i="162"/>
  <c r="I84" i="162"/>
  <c r="I88" i="162" s="1"/>
  <c r="O84" i="162"/>
  <c r="P84" i="162"/>
  <c r="P88" i="162" s="1"/>
  <c r="P91" i="162" s="1"/>
  <c r="Q84" i="162"/>
  <c r="Q88" i="162" s="1"/>
  <c r="Q91" i="162" s="1"/>
  <c r="R84" i="162"/>
  <c r="U85" i="162"/>
  <c r="U86" i="162"/>
  <c r="B87" i="162"/>
  <c r="U87" i="162" s="1"/>
  <c r="J87" i="162"/>
  <c r="G88" i="162"/>
  <c r="G91" i="162" s="1"/>
  <c r="O88" i="162"/>
  <c r="O91" i="162" s="1"/>
  <c r="R88" i="162"/>
  <c r="U90" i="162"/>
  <c r="C4" i="168"/>
  <c r="D4" i="168"/>
  <c r="E4" i="168"/>
  <c r="F4" i="168"/>
  <c r="G4" i="168"/>
  <c r="H4" i="168"/>
  <c r="I4" i="168"/>
  <c r="J4" i="168"/>
  <c r="K4" i="168"/>
  <c r="L4" i="168"/>
  <c r="M4" i="168"/>
  <c r="N4" i="168"/>
  <c r="O4" i="168"/>
  <c r="P4" i="168"/>
  <c r="Q4" i="168"/>
  <c r="R4" i="168"/>
  <c r="S4" i="168"/>
  <c r="T4" i="168"/>
  <c r="U4" i="168"/>
  <c r="V4" i="168"/>
  <c r="W4" i="168"/>
  <c r="X4" i="168"/>
  <c r="Y4" i="168"/>
  <c r="Z4" i="168"/>
  <c r="AA4" i="168"/>
  <c r="AB4" i="168"/>
  <c r="AC4" i="168"/>
  <c r="AD4" i="168"/>
  <c r="AE4" i="168"/>
  <c r="AF4" i="168"/>
  <c r="AG4" i="168"/>
  <c r="AH4" i="168"/>
  <c r="AI4" i="168"/>
  <c r="AJ4" i="168"/>
  <c r="AK4" i="168"/>
  <c r="AL4" i="168"/>
  <c r="AM4" i="168"/>
  <c r="AN4" i="168"/>
  <c r="AO4" i="168"/>
  <c r="AP4" i="168"/>
  <c r="AQ4" i="168"/>
  <c r="AR4" i="168"/>
  <c r="AS4" i="168"/>
  <c r="AT4" i="168"/>
  <c r="AU4" i="168"/>
  <c r="AV4" i="168"/>
  <c r="AW4" i="168"/>
  <c r="AX4" i="168"/>
  <c r="AY4" i="168"/>
  <c r="AZ4" i="168"/>
  <c r="BA4" i="168"/>
  <c r="BB4" i="168"/>
  <c r="BC4" i="168"/>
  <c r="BD4" i="168"/>
  <c r="BE4" i="168"/>
  <c r="BF4" i="168"/>
  <c r="BG4" i="168"/>
  <c r="BH4" i="168"/>
  <c r="BI4" i="168"/>
  <c r="BJ4" i="168"/>
  <c r="BK4" i="168"/>
  <c r="BL4" i="168"/>
  <c r="BM4" i="168"/>
  <c r="BN4" i="168"/>
  <c r="BR8" i="168"/>
  <c r="BW8" i="168"/>
  <c r="BR10" i="168"/>
  <c r="BW10" i="168"/>
  <c r="BR12" i="168"/>
  <c r="BT12" i="168"/>
  <c r="BW12" i="168"/>
  <c r="B14" i="168"/>
  <c r="Q14" i="168"/>
  <c r="BR14" i="168"/>
  <c r="BW14" i="168"/>
  <c r="BR16" i="168"/>
  <c r="BW16" i="168"/>
  <c r="BR18" i="168"/>
  <c r="BW18" i="168"/>
  <c r="Y20" i="168"/>
  <c r="BR20" i="168"/>
  <c r="BW20" i="168"/>
  <c r="BR22" i="168"/>
  <c r="M24" i="168"/>
  <c r="P24" i="168"/>
  <c r="X24" i="168"/>
  <c r="AA24" i="168"/>
  <c r="AX24" i="168"/>
  <c r="BR24" i="168"/>
  <c r="B26" i="168"/>
  <c r="C26" i="168"/>
  <c r="D26" i="168"/>
  <c r="E26" i="168"/>
  <c r="F26" i="168"/>
  <c r="G26" i="168"/>
  <c r="H26" i="168"/>
  <c r="I26" i="168"/>
  <c r="J26" i="168"/>
  <c r="K26" i="168"/>
  <c r="L26" i="168"/>
  <c r="M26" i="168"/>
  <c r="N26" i="168"/>
  <c r="O26" i="168"/>
  <c r="P26" i="168"/>
  <c r="Q26" i="168"/>
  <c r="R26" i="168"/>
  <c r="S26" i="168"/>
  <c r="T26" i="168"/>
  <c r="U26" i="168"/>
  <c r="V26" i="168"/>
  <c r="W26" i="168"/>
  <c r="X26" i="168"/>
  <c r="Y26" i="168"/>
  <c r="Z26" i="168"/>
  <c r="AA26" i="168"/>
  <c r="AB26" i="168"/>
  <c r="AC26" i="168"/>
  <c r="AD26" i="168"/>
  <c r="AE26" i="168"/>
  <c r="AF26" i="168"/>
  <c r="AG26" i="168"/>
  <c r="AH26" i="168"/>
  <c r="AI26" i="168"/>
  <c r="AJ26" i="168"/>
  <c r="AK26" i="168"/>
  <c r="AL26" i="168"/>
  <c r="AM26" i="168"/>
  <c r="AN26" i="168"/>
  <c r="AO26" i="168"/>
  <c r="AP26" i="168"/>
  <c r="AQ26" i="168"/>
  <c r="AR26" i="168"/>
  <c r="AS26" i="168"/>
  <c r="AT26" i="168"/>
  <c r="AU26" i="168"/>
  <c r="AV26" i="168"/>
  <c r="AW26" i="168"/>
  <c r="AX26" i="168"/>
  <c r="AY26" i="168"/>
  <c r="AZ26" i="168"/>
  <c r="BA26" i="168"/>
  <c r="BB26" i="168"/>
  <c r="BC26" i="168"/>
  <c r="BD26" i="168"/>
  <c r="BE26" i="168"/>
  <c r="BF26" i="168"/>
  <c r="BG26" i="168"/>
  <c r="BH26" i="168"/>
  <c r="BI26" i="168"/>
  <c r="BJ26" i="168"/>
  <c r="BK26" i="168"/>
  <c r="BL26" i="168"/>
  <c r="BM26" i="168"/>
  <c r="BN26" i="168"/>
  <c r="BQ26" i="168"/>
  <c r="BQ36" i="168"/>
  <c r="BR29" i="168"/>
  <c r="C31" i="168"/>
  <c r="D31" i="168"/>
  <c r="P31" i="168"/>
  <c r="BR31" i="168"/>
  <c r="C33" i="168"/>
  <c r="D33" i="168"/>
  <c r="BR33" i="168"/>
  <c r="B36" i="168"/>
  <c r="C36" i="168"/>
  <c r="D36" i="168"/>
  <c r="E36" i="168"/>
  <c r="F36" i="168"/>
  <c r="G36" i="168"/>
  <c r="H36" i="168"/>
  <c r="I36" i="168"/>
  <c r="J36" i="168"/>
  <c r="K36" i="168"/>
  <c r="L36" i="168"/>
  <c r="M36" i="168"/>
  <c r="N36" i="168"/>
  <c r="O36" i="168"/>
  <c r="P36" i="168"/>
  <c r="Q36" i="168"/>
  <c r="R36" i="168"/>
  <c r="S36" i="168"/>
  <c r="T36" i="168"/>
  <c r="U36" i="168"/>
  <c r="V36" i="168"/>
  <c r="W36" i="168"/>
  <c r="X36" i="168"/>
  <c r="Y36" i="168"/>
  <c r="Z36" i="168"/>
  <c r="AA36" i="168"/>
  <c r="AB36" i="168"/>
  <c r="AC36" i="168"/>
  <c r="AD36" i="168"/>
  <c r="AE36" i="168"/>
  <c r="AF36" i="168"/>
  <c r="AG36" i="168"/>
  <c r="AH36" i="168"/>
  <c r="AI36" i="168"/>
  <c r="AJ36" i="168"/>
  <c r="AK36" i="168"/>
  <c r="AL36" i="168"/>
  <c r="AM36" i="168"/>
  <c r="AN36" i="168"/>
  <c r="AO36" i="168"/>
  <c r="AP36" i="168"/>
  <c r="AQ36" i="168"/>
  <c r="AR36" i="168"/>
  <c r="AS36" i="168"/>
  <c r="AT36" i="168"/>
  <c r="AU36" i="168"/>
  <c r="AV36" i="168"/>
  <c r="AW36" i="168"/>
  <c r="AX36" i="168"/>
  <c r="AY36" i="168"/>
  <c r="AZ36" i="168"/>
  <c r="BA36" i="168"/>
  <c r="BB36" i="168"/>
  <c r="BC36" i="168"/>
  <c r="BD36" i="168"/>
  <c r="BE36" i="168"/>
  <c r="BF36" i="168"/>
  <c r="BG36" i="168"/>
  <c r="BH36" i="168"/>
  <c r="BI36" i="168"/>
  <c r="BJ36" i="168"/>
  <c r="BK36" i="168"/>
  <c r="BL36" i="168"/>
  <c r="BM36" i="168"/>
  <c r="BU36" i="168"/>
  <c r="BW36" i="168"/>
  <c r="C3" i="149"/>
  <c r="F3" i="149"/>
  <c r="G3" i="149"/>
  <c r="H3" i="149"/>
  <c r="I3" i="149"/>
  <c r="J3" i="149"/>
  <c r="K3" i="149"/>
  <c r="L3" i="149"/>
  <c r="H7" i="149"/>
  <c r="L7" i="149"/>
  <c r="H9" i="149"/>
  <c r="L9" i="149"/>
  <c r="H11" i="149"/>
  <c r="L11" i="149"/>
  <c r="H13" i="149"/>
  <c r="I13" i="149"/>
  <c r="J13" i="149"/>
  <c r="K13" i="149"/>
  <c r="H15" i="149"/>
  <c r="L15" i="149"/>
  <c r="H17" i="149"/>
  <c r="L17" i="149"/>
  <c r="H19" i="149"/>
  <c r="D20" i="5"/>
  <c r="I19" i="149"/>
  <c r="J19" i="149"/>
  <c r="K19" i="149"/>
  <c r="K21" i="149"/>
  <c r="B21" i="149"/>
  <c r="C21" i="149"/>
  <c r="D21" i="149"/>
  <c r="E21" i="149"/>
  <c r="F21" i="149"/>
  <c r="G21" i="149"/>
  <c r="I21" i="149"/>
  <c r="J21" i="149"/>
  <c r="C3" i="138"/>
  <c r="D3" i="138"/>
  <c r="D7" i="138"/>
  <c r="D9" i="138"/>
  <c r="D11" i="138"/>
  <c r="D13" i="138"/>
  <c r="D15" i="138"/>
  <c r="D17" i="138"/>
  <c r="D19" i="138"/>
  <c r="B21" i="138"/>
  <c r="C21" i="138"/>
  <c r="D21" i="138"/>
  <c r="C3" i="155"/>
  <c r="D3" i="155"/>
  <c r="E3" i="155"/>
  <c r="F3" i="155"/>
  <c r="G3" i="155"/>
  <c r="G7" i="155"/>
  <c r="G9" i="155"/>
  <c r="G11" i="155"/>
  <c r="G13" i="155"/>
  <c r="G15" i="155"/>
  <c r="G17" i="155"/>
  <c r="G19" i="155"/>
  <c r="B21" i="155"/>
  <c r="C21" i="155"/>
  <c r="D21" i="155"/>
  <c r="E21" i="155"/>
  <c r="F21" i="155"/>
  <c r="G21" i="155"/>
  <c r="B21" i="154"/>
  <c r="C21" i="154"/>
  <c r="D21" i="154"/>
  <c r="F21" i="154"/>
  <c r="C5" i="153"/>
  <c r="F9" i="153"/>
  <c r="I9" i="153"/>
  <c r="F11" i="153"/>
  <c r="I11" i="153"/>
  <c r="F13" i="153"/>
  <c r="I13" i="153"/>
  <c r="F15" i="153"/>
  <c r="I15" i="153"/>
  <c r="F17" i="153"/>
  <c r="I17" i="153"/>
  <c r="F19" i="153"/>
  <c r="I19" i="153"/>
  <c r="F21" i="153"/>
  <c r="I21" i="153"/>
  <c r="B23" i="153"/>
  <c r="C23" i="153"/>
  <c r="D23" i="153"/>
  <c r="E23" i="153"/>
  <c r="F23" i="153"/>
  <c r="G23" i="153"/>
  <c r="H23" i="153"/>
  <c r="I23" i="153"/>
  <c r="C4" i="140"/>
  <c r="G4" i="140"/>
  <c r="H4" i="140"/>
  <c r="I4" i="140"/>
  <c r="J4" i="140"/>
  <c r="K4" i="140"/>
  <c r="L4" i="140"/>
  <c r="M4" i="140"/>
  <c r="N4" i="140"/>
  <c r="O4" i="140"/>
  <c r="P4" i="140"/>
  <c r="Q4" i="140"/>
  <c r="R4" i="140"/>
  <c r="S4" i="140"/>
  <c r="T4" i="140"/>
  <c r="U4" i="140"/>
  <c r="V4" i="140"/>
  <c r="W4" i="140"/>
  <c r="X4" i="140"/>
  <c r="Y4" i="140"/>
  <c r="Z4" i="140"/>
  <c r="AA4" i="140"/>
  <c r="AB4" i="140"/>
  <c r="AC4" i="140"/>
  <c r="AD4" i="140"/>
  <c r="D8" i="140"/>
  <c r="F8" i="140"/>
  <c r="G8" i="140"/>
  <c r="AH8" i="140"/>
  <c r="AH22" i="140"/>
  <c r="C10" i="140"/>
  <c r="D10" i="140"/>
  <c r="E10" i="140"/>
  <c r="F10" i="140"/>
  <c r="M10" i="140"/>
  <c r="AH10" i="140"/>
  <c r="I12" i="140"/>
  <c r="AA12" i="140"/>
  <c r="AH12" i="140"/>
  <c r="J14" i="140"/>
  <c r="P14" i="140"/>
  <c r="T14" i="140"/>
  <c r="W14" i="140"/>
  <c r="AH14" i="140"/>
  <c r="AH16" i="140"/>
  <c r="AH18" i="140"/>
  <c r="E20" i="140"/>
  <c r="G20" i="140"/>
  <c r="J20" i="140"/>
  <c r="P20" i="140"/>
  <c r="T20" i="140"/>
  <c r="AH20" i="140"/>
  <c r="D21" i="30"/>
  <c r="B22" i="140"/>
  <c r="C22" i="140"/>
  <c r="D22" i="140"/>
  <c r="E22" i="140"/>
  <c r="F22" i="140"/>
  <c r="G22" i="140"/>
  <c r="H22" i="140"/>
  <c r="I22" i="140"/>
  <c r="J22" i="140"/>
  <c r="K22" i="140"/>
  <c r="L22" i="140"/>
  <c r="M22" i="140"/>
  <c r="N22" i="140"/>
  <c r="O22" i="140"/>
  <c r="P22" i="140"/>
  <c r="Q22" i="140"/>
  <c r="R22" i="140"/>
  <c r="S22" i="140"/>
  <c r="T22" i="140"/>
  <c r="U22" i="140"/>
  <c r="V22" i="140"/>
  <c r="W22" i="140"/>
  <c r="X22" i="140"/>
  <c r="Y22" i="140"/>
  <c r="Z22" i="140"/>
  <c r="AA22" i="140"/>
  <c r="AB22" i="140"/>
  <c r="AC22" i="140"/>
  <c r="AD22" i="140"/>
  <c r="AE22" i="140"/>
  <c r="AG22" i="140"/>
  <c r="C4" i="5"/>
  <c r="D4" i="5"/>
  <c r="E4" i="5"/>
  <c r="F4" i="5"/>
  <c r="G4" i="5"/>
  <c r="H4" i="5"/>
  <c r="I4" i="5"/>
  <c r="J4" i="5"/>
  <c r="K4" i="5"/>
  <c r="L4" i="5"/>
  <c r="M4" i="5"/>
  <c r="N4" i="5"/>
  <c r="O4" i="5"/>
  <c r="P4" i="5"/>
  <c r="Q4" i="5"/>
  <c r="R4" i="5"/>
  <c r="F8" i="5"/>
  <c r="K8" i="5"/>
  <c r="M8" i="5"/>
  <c r="N8" i="5"/>
  <c r="D10" i="5"/>
  <c r="K10" i="5"/>
  <c r="M10" i="5"/>
  <c r="D12" i="5"/>
  <c r="K12" i="5"/>
  <c r="M12" i="5"/>
  <c r="N12" i="5"/>
  <c r="D14" i="5"/>
  <c r="E14" i="5"/>
  <c r="F14" i="5"/>
  <c r="K14" i="5"/>
  <c r="L14" i="5"/>
  <c r="M14" i="5"/>
  <c r="N14" i="5"/>
  <c r="B16" i="5"/>
  <c r="D16" i="5"/>
  <c r="K16" i="5"/>
  <c r="M16" i="5"/>
  <c r="N16" i="5"/>
  <c r="F18" i="5"/>
  <c r="K18" i="5"/>
  <c r="M18" i="5"/>
  <c r="N18" i="5"/>
  <c r="E20" i="5"/>
  <c r="F20" i="5"/>
  <c r="K20" i="5"/>
  <c r="L20" i="5"/>
  <c r="M20" i="5"/>
  <c r="N20" i="5"/>
  <c r="B22" i="5"/>
  <c r="E22" i="5"/>
  <c r="F22" i="5"/>
  <c r="G22" i="5"/>
  <c r="H22" i="5"/>
  <c r="I22" i="5"/>
  <c r="J22" i="5"/>
  <c r="K22" i="5"/>
  <c r="L22" i="5"/>
  <c r="M22" i="5"/>
  <c r="N22" i="5"/>
  <c r="O22" i="5"/>
  <c r="P22" i="5"/>
  <c r="Q22" i="5"/>
  <c r="C3" i="164"/>
  <c r="L7" i="164"/>
  <c r="L9" i="164"/>
  <c r="D9" i="2"/>
  <c r="L11" i="164"/>
  <c r="D11" i="2"/>
  <c r="L13" i="164"/>
  <c r="D13" i="2"/>
  <c r="L15" i="164"/>
  <c r="D15" i="2"/>
  <c r="L17" i="164"/>
  <c r="D17" i="2"/>
  <c r="L19" i="164"/>
  <c r="D19" i="2"/>
  <c r="B21" i="164"/>
  <c r="C21" i="164"/>
  <c r="E21" i="164"/>
  <c r="F21" i="164"/>
  <c r="K21" i="164"/>
  <c r="C3" i="97"/>
  <c r="D3" i="97"/>
  <c r="E3" i="97"/>
  <c r="F3" i="97"/>
  <c r="G3" i="97"/>
  <c r="H3" i="97"/>
  <c r="H7" i="97"/>
  <c r="M7" i="97"/>
  <c r="I7" i="97"/>
  <c r="J7" i="97"/>
  <c r="H9" i="97"/>
  <c r="J9" i="97"/>
  <c r="M9" i="97"/>
  <c r="C9" i="2"/>
  <c r="E9" i="2"/>
  <c r="B11" i="30"/>
  <c r="I11" i="97"/>
  <c r="M11" i="97"/>
  <c r="C11" i="2"/>
  <c r="E11" i="2"/>
  <c r="B13" i="30"/>
  <c r="J11" i="97"/>
  <c r="I13" i="97"/>
  <c r="J13" i="97"/>
  <c r="M13" i="97"/>
  <c r="C13" i="2"/>
  <c r="E13" i="2"/>
  <c r="B15" i="30"/>
  <c r="I15" i="97"/>
  <c r="M15" i="97"/>
  <c r="C15" i="2"/>
  <c r="E15" i="2"/>
  <c r="B17" i="30"/>
  <c r="J15" i="97"/>
  <c r="H17" i="97"/>
  <c r="M17" i="97"/>
  <c r="C17" i="2"/>
  <c r="E17" i="2"/>
  <c r="B19" i="30"/>
  <c r="I17" i="97"/>
  <c r="J17" i="97"/>
  <c r="H19" i="97"/>
  <c r="I19" i="97"/>
  <c r="J19" i="97"/>
  <c r="J21" i="97"/>
  <c r="B21" i="97"/>
  <c r="C21" i="97"/>
  <c r="D21" i="97"/>
  <c r="E21" i="97"/>
  <c r="F21" i="97"/>
  <c r="G21" i="97"/>
  <c r="I21" i="97"/>
  <c r="K21" i="97"/>
  <c r="C3" i="2"/>
  <c r="D3" i="2"/>
  <c r="E3" i="2"/>
  <c r="B21" i="2"/>
  <c r="C5" i="30"/>
  <c r="D5" i="30"/>
  <c r="E5" i="30"/>
  <c r="F5" i="30"/>
  <c r="G5" i="30"/>
  <c r="H5" i="30"/>
  <c r="I5" i="30"/>
  <c r="F9" i="30"/>
  <c r="G9" i="30"/>
  <c r="H9" i="30"/>
  <c r="D11" i="30"/>
  <c r="F11" i="30"/>
  <c r="G11" i="30"/>
  <c r="H11" i="30"/>
  <c r="D13" i="30"/>
  <c r="F13" i="30"/>
  <c r="G13" i="30"/>
  <c r="H13" i="30"/>
  <c r="D15" i="30"/>
  <c r="F15" i="30"/>
  <c r="G15" i="30"/>
  <c r="H15" i="30"/>
  <c r="D17" i="30"/>
  <c r="F17" i="30"/>
  <c r="G17" i="30"/>
  <c r="H17" i="30"/>
  <c r="F19" i="30"/>
  <c r="G19" i="30"/>
  <c r="H19" i="30"/>
  <c r="F21" i="30"/>
  <c r="G21" i="30"/>
  <c r="H21" i="30"/>
  <c r="F23" i="30"/>
  <c r="H23" i="30"/>
  <c r="D19" i="30"/>
  <c r="BR26" i="168"/>
  <c r="BN36" i="168"/>
  <c r="BR36" i="168"/>
  <c r="L21" i="164"/>
  <c r="D7" i="2"/>
  <c r="D21" i="2"/>
  <c r="L13" i="149"/>
  <c r="L19" i="149"/>
  <c r="L21" i="149"/>
  <c r="D18" i="5"/>
  <c r="H21" i="149"/>
  <c r="D8" i="5"/>
  <c r="G23" i="30"/>
  <c r="I3" i="97"/>
  <c r="H21" i="97"/>
  <c r="M19" i="97"/>
  <c r="C19" i="2"/>
  <c r="E19" i="2"/>
  <c r="B21" i="30"/>
  <c r="K25" i="97"/>
  <c r="D9" i="30"/>
  <c r="D23" i="30"/>
  <c r="M21" i="97"/>
  <c r="C7" i="2"/>
  <c r="D22" i="5"/>
  <c r="C21" i="2"/>
  <c r="E7" i="2"/>
  <c r="E21" i="2"/>
  <c r="B9" i="30"/>
  <c r="B23" i="30"/>
  <c r="E91" i="162" l="1"/>
  <c r="I91" i="162"/>
  <c r="D91" i="162"/>
  <c r="B7" i="162" s="1"/>
  <c r="C8" i="5" s="1"/>
  <c r="R8" i="5" s="1"/>
  <c r="C9" i="30" s="1"/>
  <c r="E9" i="30" s="1"/>
  <c r="I9" i="30" s="1"/>
  <c r="N91" i="162"/>
  <c r="B17" i="162" s="1"/>
  <c r="C91" i="162"/>
  <c r="U45" i="162"/>
  <c r="B52" i="162"/>
  <c r="M91" i="162"/>
  <c r="K91" i="162"/>
  <c r="L91" i="162"/>
  <c r="B15" i="162" s="1"/>
  <c r="C16" i="5" s="1"/>
  <c r="R16" i="5" s="1"/>
  <c r="C17" i="30" s="1"/>
  <c r="E17" i="30" s="1"/>
  <c r="I17" i="30" s="1"/>
  <c r="R10" i="5"/>
  <c r="B81" i="162"/>
  <c r="J76" i="162"/>
  <c r="J81" i="162" s="1"/>
  <c r="J84" i="162" s="1"/>
  <c r="J88" i="162" s="1"/>
  <c r="J91" i="162" s="1"/>
  <c r="B13" i="162" s="1"/>
  <c r="C14" i="5" s="1"/>
  <c r="R14" i="5" s="1"/>
  <c r="C15" i="30" s="1"/>
  <c r="E15" i="30" s="1"/>
  <c r="I15" i="30" s="1"/>
  <c r="U39" i="162"/>
  <c r="B60" i="162" l="1"/>
  <c r="U52" i="162"/>
  <c r="U76" i="162"/>
  <c r="B84" i="162"/>
  <c r="U81" i="162"/>
  <c r="C18" i="5"/>
  <c r="R18" i="5" s="1"/>
  <c r="C19" i="30" s="1"/>
  <c r="E19" i="30" s="1"/>
  <c r="I19" i="30" s="1"/>
  <c r="C11" i="30"/>
  <c r="E11" i="30" s="1"/>
  <c r="I11" i="30" s="1"/>
  <c r="B62" i="162" l="1"/>
  <c r="U62" i="162" s="1"/>
  <c r="U60" i="162"/>
  <c r="B88" i="162"/>
  <c r="U84" i="162"/>
  <c r="U88" i="162" l="1"/>
  <c r="B91" i="162"/>
  <c r="U91" i="162" l="1"/>
  <c r="B19" i="162"/>
  <c r="C20" i="5" l="1"/>
  <c r="B21" i="162"/>
  <c r="R20" i="5" l="1"/>
  <c r="C22" i="5"/>
  <c r="C21" i="30" l="1"/>
  <c r="R22" i="5"/>
  <c r="C23" i="30" l="1"/>
  <c r="E21" i="30"/>
  <c r="E23" i="30" l="1"/>
  <c r="I21" i="30"/>
  <c r="I23" i="30" s="1"/>
</calcChain>
</file>

<file path=xl/comments1.xml><?xml version="1.0" encoding="utf-8"?>
<comments xmlns="http://schemas.openxmlformats.org/spreadsheetml/2006/main">
  <authors>
    <author>Broughton, Julie (HSS - Finance)</author>
  </authors>
  <commentList>
    <comment ref="H15" authorId="0" shapeId="0">
      <text>
        <r>
          <rPr>
            <b/>
            <sz val="9"/>
            <color indexed="81"/>
            <rFont val="Tahoma"/>
            <family val="2"/>
          </rPr>
          <t>Broughton, Julie (HSS - Finance):</t>
        </r>
        <r>
          <rPr>
            <sz val="9"/>
            <color indexed="81"/>
            <rFont val="Tahoma"/>
            <family val="2"/>
          </rPr>
          <t xml:space="preserve">
Mountain Ash</t>
        </r>
      </text>
    </comment>
  </commentList>
</comments>
</file>

<file path=xl/comments2.xml><?xml version="1.0" encoding="utf-8"?>
<comments xmlns="http://schemas.openxmlformats.org/spreadsheetml/2006/main">
  <authors>
    <author>Broughton, Julie (DHSS - Finance)</author>
    <author>Broughton, Julie (HSS - Finance)</author>
    <author>Meredith, Elen (DHSS - Finance)</author>
  </authors>
  <commentList>
    <comment ref="B14" authorId="0" shapeId="0">
      <text>
        <r>
          <rPr>
            <b/>
            <sz val="12"/>
            <color indexed="81"/>
            <rFont val="Tahoma"/>
            <family val="2"/>
          </rPr>
          <t>Broughton, Julie (DHSS - Finance):</t>
        </r>
        <r>
          <rPr>
            <sz val="12"/>
            <color indexed="81"/>
            <rFont val="Tahoma"/>
            <family val="2"/>
          </rPr>
          <t xml:space="preserve">
Includes additional Audit input agreed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U14" authorId="1" shapeId="0">
      <text>
        <r>
          <rPr>
            <b/>
            <sz val="12"/>
            <color indexed="81"/>
            <rFont val="Tahoma"/>
            <family val="2"/>
          </rPr>
          <t>Broughton, Julie (HSS - Finance):</t>
        </r>
        <r>
          <rPr>
            <sz val="12"/>
            <color indexed="81"/>
            <rFont val="Tahoma"/>
            <family val="2"/>
          </rPr>
          <t xml:space="preserve">
Includes Bridgend adjustment £1.818m</t>
        </r>
      </text>
    </comment>
    <comment ref="Y20" authorId="2" shapeId="0">
      <text>
        <r>
          <rPr>
            <b/>
            <sz val="12"/>
            <color indexed="81"/>
            <rFont val="Tahoma"/>
            <family val="2"/>
          </rPr>
          <t>Meredith, Elen (DHSS - Finance):</t>
        </r>
        <r>
          <rPr>
            <sz val="12"/>
            <color indexed="81"/>
            <rFont val="Tahoma"/>
            <family val="2"/>
          </rPr>
          <t xml:space="preserve">
2017-18 £22,133 Band 3 to ABM
£44,266 2x band 3 Estates Buyers to NWSSP
£37,775 Omnicell Band 6 to NWSSP
£82,041 IOH posts (1xBand6. 2xBand 3) to NWSSP</t>
        </r>
      </text>
    </comment>
    <comment ref="BU20" authorId="1" shapeId="0">
      <text>
        <r>
          <rPr>
            <b/>
            <sz val="12"/>
            <color indexed="81"/>
            <rFont val="Tahoma"/>
            <family val="2"/>
          </rPr>
          <t>Broughton, Julie (HSS - Finance):</t>
        </r>
        <r>
          <rPr>
            <sz val="12"/>
            <color indexed="81"/>
            <rFont val="Tahoma"/>
            <family val="2"/>
          </rPr>
          <t xml:space="preserve">
Includes Bridgend adjustment £-1.818m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P24" authorId="0" shapeId="0">
      <text>
        <r>
          <rPr>
            <b/>
            <sz val="12"/>
            <color indexed="81"/>
            <rFont val="Tahoma"/>
            <family val="2"/>
          </rPr>
          <t>Broughton, Julie (DHSS - Finance):</t>
        </r>
        <r>
          <rPr>
            <sz val="12"/>
            <color indexed="81"/>
            <rFont val="Tahoma"/>
            <family val="2"/>
          </rPr>
          <t xml:space="preserve">
Includes £0.040m for NWSSP ESR costs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24" authorId="2" shapeId="0">
      <text>
        <r>
          <rPr>
            <b/>
            <sz val="12"/>
            <color indexed="81"/>
            <rFont val="Tahoma"/>
            <family val="2"/>
          </rPr>
          <t>Meredith, Elen (DHSS - Finance):</t>
        </r>
        <r>
          <rPr>
            <sz val="12"/>
            <color indexed="81"/>
            <rFont val="Tahoma"/>
            <family val="2"/>
          </rPr>
          <t xml:space="preserve">
17-18 - £40k reduction to NWIS for Vending Machines and Telecoms.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Broughton, Julie (HSS - Finance)</author>
  </authors>
  <commentList>
    <comment ref="B13" authorId="0" shapeId="0">
      <text>
        <r>
          <rPr>
            <b/>
            <sz val="9"/>
            <color indexed="81"/>
            <rFont val="Tahoma"/>
            <family val="2"/>
          </rPr>
          <t>Broughton, Julie (HSS - Finance):</t>
        </r>
        <r>
          <rPr>
            <sz val="9"/>
            <color indexed="81"/>
            <rFont val="Tahoma"/>
            <family val="2"/>
          </rPr>
          <t xml:space="preserve">
Bridgend Transfer</t>
        </r>
      </text>
    </comment>
    <comment ref="B19" authorId="0" shapeId="0">
      <text>
        <r>
          <rPr>
            <b/>
            <sz val="9"/>
            <color indexed="81"/>
            <rFont val="Tahoma"/>
            <family val="2"/>
          </rPr>
          <t>Broughton, Julie (HSS - Finance):</t>
        </r>
        <r>
          <rPr>
            <sz val="9"/>
            <color indexed="81"/>
            <rFont val="Tahoma"/>
            <family val="2"/>
          </rPr>
          <t xml:space="preserve">
Bridgend Transfer</t>
        </r>
      </text>
    </comment>
  </commentList>
</comments>
</file>

<file path=xl/comments4.xml><?xml version="1.0" encoding="utf-8"?>
<comments xmlns="http://schemas.openxmlformats.org/spreadsheetml/2006/main">
  <authors>
    <author>Broughton, Julie (HSS - Finance)</author>
  </authors>
  <commentList>
    <comment ref="F8" authorId="0" shapeId="0">
      <text>
        <r>
          <rPr>
            <b/>
            <sz val="9"/>
            <color indexed="81"/>
            <rFont val="Tahoma"/>
            <family val="2"/>
          </rPr>
          <t>Broughton, Julie (HSS - Finance):</t>
        </r>
        <r>
          <rPr>
            <sz val="9"/>
            <color indexed="81"/>
            <rFont val="Tahoma"/>
            <family val="2"/>
          </rPr>
          <t xml:space="preserve">
Removal of funding 19-20 allocation letter
</t>
        </r>
      </text>
    </comment>
    <comment ref="F16" authorId="0" shapeId="0">
      <text>
        <r>
          <rPr>
            <b/>
            <sz val="9"/>
            <color indexed="81"/>
            <rFont val="Tahoma"/>
            <family val="2"/>
          </rPr>
          <t>Broughton, Julie (HSS - Finance):</t>
        </r>
        <r>
          <rPr>
            <sz val="9"/>
            <color indexed="81"/>
            <rFont val="Tahoma"/>
            <family val="2"/>
          </rPr>
          <t xml:space="preserve">
Removal of funding in 19-20 allocation letter</t>
        </r>
      </text>
    </comment>
    <comment ref="F18" authorId="0" shapeId="0">
      <text>
        <r>
          <rPr>
            <b/>
            <sz val="9"/>
            <color indexed="81"/>
            <rFont val="Tahoma"/>
            <family val="2"/>
          </rPr>
          <t>Broughton, Julie (HSS - Finance):</t>
        </r>
        <r>
          <rPr>
            <sz val="9"/>
            <color indexed="81"/>
            <rFont val="Tahoma"/>
            <family val="2"/>
          </rPr>
          <t xml:space="preserve">
Removal of funding in 19-20 allocation letter</t>
        </r>
      </text>
    </comment>
  </commentList>
</comments>
</file>

<file path=xl/sharedStrings.xml><?xml version="1.0" encoding="utf-8"?>
<sst xmlns="http://schemas.openxmlformats.org/spreadsheetml/2006/main" count="724" uniqueCount="334">
  <si>
    <t>Total</t>
  </si>
  <si>
    <t>Table A1</t>
  </si>
  <si>
    <t>Table A2</t>
  </si>
  <si>
    <t>Table B1</t>
  </si>
  <si>
    <t>Table B2</t>
  </si>
  <si>
    <t>Table C</t>
  </si>
  <si>
    <t xml:space="preserve">Contents </t>
  </si>
  <si>
    <t xml:space="preserve"> </t>
  </si>
  <si>
    <t>Learning Disabilities</t>
  </si>
  <si>
    <t>Dental SIFT</t>
  </si>
  <si>
    <t>Table E</t>
  </si>
  <si>
    <t>Revenue Allocation for Community Pharmacy Contract</t>
  </si>
  <si>
    <t>Revenue Allocation for Dental Contract</t>
  </si>
  <si>
    <t>Table F</t>
  </si>
  <si>
    <t>Total Adjustments (Carried forward to Table A1, Column 2)</t>
  </si>
  <si>
    <t xml:space="preserve">Revenue Allocation for GMS Contract </t>
  </si>
  <si>
    <t>£m</t>
  </si>
  <si>
    <t>Table 1</t>
  </si>
  <si>
    <t>Table 2</t>
  </si>
  <si>
    <t>Substance Misuse Funding</t>
  </si>
  <si>
    <t xml:space="preserve">Radiotherapy </t>
  </si>
  <si>
    <t>Aneurin Bevan HB</t>
  </si>
  <si>
    <t>Cardiff and Vale University HB</t>
  </si>
  <si>
    <t>Powys HB</t>
  </si>
  <si>
    <t>Hywel Dda HB</t>
  </si>
  <si>
    <t>Table B2 - HCHS Directed Expenditure Analysis</t>
  </si>
  <si>
    <t>Total (carried forward to Summary Table)</t>
  </si>
  <si>
    <t xml:space="preserve">HCHS Ring-Fenced Revenue Allocations </t>
  </si>
  <si>
    <t>Directed Expenditure Allocations</t>
  </si>
  <si>
    <t>Total Mental Health Ring-Fenced Allocation</t>
  </si>
  <si>
    <t>Betsi Cadwaladr University HB</t>
  </si>
  <si>
    <t>Primary Care Prescribing</t>
  </si>
  <si>
    <t>GMS 
(QOF and ES)</t>
  </si>
  <si>
    <t>Other Primary Care</t>
  </si>
  <si>
    <t>Table C: Revenue Allocation for GMS Contract - £ million</t>
  </si>
  <si>
    <t>Table E: Revenue Allocation for Community Pharmacy Contract - £ million</t>
  </si>
  <si>
    <t>Table F: Revenue Allocation for Dental Contract - £ million</t>
  </si>
  <si>
    <t>NWIS</t>
  </si>
  <si>
    <t>Cardiac Network</t>
  </si>
  <si>
    <t>Cancer Network</t>
  </si>
  <si>
    <t>Critical Care Network</t>
  </si>
  <si>
    <t>Baseline Adjustments</t>
  </si>
  <si>
    <t>Contractor Services</t>
  </si>
  <si>
    <t>Primary Care complaints</t>
  </si>
  <si>
    <t>Infrastructure SIFT</t>
  </si>
  <si>
    <t>Audit Services</t>
  </si>
  <si>
    <t>Employment Services</t>
  </si>
  <si>
    <t>Welsh Ambulance Services NHST</t>
  </si>
  <si>
    <t>Velindre NHST</t>
  </si>
  <si>
    <t>Public Health Wales NHST</t>
  </si>
  <si>
    <t>Procurement Services</t>
  </si>
  <si>
    <t xml:space="preserve">WHS </t>
  </si>
  <si>
    <t>Welsh Government</t>
  </si>
  <si>
    <t>Prescribing Services</t>
  </si>
  <si>
    <t>Facilities Services</t>
  </si>
  <si>
    <t>Table 1: Substance Misuse Funding</t>
  </si>
  <si>
    <t>Table 3</t>
  </si>
  <si>
    <t>Shared Services Funding</t>
  </si>
  <si>
    <t>Depreciation</t>
  </si>
  <si>
    <t>Counter Fraud</t>
  </si>
  <si>
    <t>ICS Repatriation to HBs</t>
  </si>
  <si>
    <t>Risk Pool Services</t>
  </si>
  <si>
    <t>Legal and Risk Services</t>
  </si>
  <si>
    <t>Commissioner &gt; 
Provider           v</t>
  </si>
  <si>
    <t>ABMU</t>
  </si>
  <si>
    <t>Aneurin Bevan</t>
  </si>
  <si>
    <t>BCU</t>
  </si>
  <si>
    <t>Cardiff and Vale U</t>
  </si>
  <si>
    <t>Cwm Taf</t>
  </si>
  <si>
    <t>Hywel Dda</t>
  </si>
  <si>
    <t>Powys</t>
  </si>
  <si>
    <t>SIFT</t>
  </si>
  <si>
    <t>Postgrad Dean</t>
  </si>
  <si>
    <t>R&amp;D</t>
  </si>
  <si>
    <t>PHLS</t>
  </si>
  <si>
    <t xml:space="preserve">Other  </t>
  </si>
  <si>
    <t>Non-WHSSC</t>
  </si>
  <si>
    <t>Velindre</t>
  </si>
  <si>
    <t>WAST</t>
  </si>
  <si>
    <t>PHW</t>
  </si>
  <si>
    <t>PHWT Removal of Savings from 2012/13 DV exercise</t>
  </si>
  <si>
    <t>LHB Removal of Savings from 2012/13 DV exercise</t>
  </si>
  <si>
    <t>WHSSC</t>
  </si>
  <si>
    <t>Velindre (Removal of Savings from 2012/13 DV Exercise)</t>
  </si>
  <si>
    <t>WAST (Additional Funding Req'd from 2012/13 DV Exercise)</t>
  </si>
  <si>
    <t>Velindre Removal of Savings from 2012/13 DV exercise</t>
  </si>
  <si>
    <t>Depreciation Funding Adjustment</t>
  </si>
  <si>
    <t>Table 4 - Depreciation Funding Adjustment</t>
  </si>
  <si>
    <t>Table 4</t>
  </si>
  <si>
    <t>Velindre resource mapping adjustment</t>
  </si>
  <si>
    <t>13-14 Baseline adjustments:</t>
  </si>
  <si>
    <t>Short Term Wheelchair loans</t>
  </si>
  <si>
    <t>Blood Disorders funding</t>
  </si>
  <si>
    <t>`</t>
  </si>
  <si>
    <t>14-15 Baseline adjustments:</t>
  </si>
  <si>
    <t>LHB Baseline &amp; Approved Strategic adjustment</t>
  </si>
  <si>
    <t>Velindre Baseline &amp; Approved Strategic adjustment</t>
  </si>
  <si>
    <t>NWIS Baseline &amp; Approved Strategic adjustment</t>
  </si>
  <si>
    <t>NWSSP Baseline &amp; Approved Strategic adjustment</t>
  </si>
  <si>
    <t>WAST Baseline &amp; Approved Strategic adjustment</t>
  </si>
  <si>
    <t>PHW Baseline &amp; Approved Strategic adjustment</t>
  </si>
  <si>
    <t>SIFT, PHLS, R&amp;D and PGMDE Depreciation (exc. Velindre)</t>
  </si>
  <si>
    <t>ESR Savings/  Oracle Team/  WfIS / EST Team transfer</t>
  </si>
  <si>
    <t>Deanery - transfer of 2 posts</t>
  </si>
  <si>
    <t>Removal of Depreciation from revenue allocation</t>
  </si>
  <si>
    <t>.</t>
  </si>
  <si>
    <t>Table A3</t>
  </si>
  <si>
    <t>Recurrent Additional Funding</t>
  </si>
  <si>
    <t>Total Adjustments (Carried forward to Table A1, Column 3)</t>
  </si>
  <si>
    <t>Betsi Cadwaladr University LHB</t>
  </si>
  <si>
    <t>Wales Analytical Prescribing Support Unit</t>
  </si>
  <si>
    <t>Mental Health CALL Helpline</t>
  </si>
  <si>
    <t xml:space="preserve">Hospital, Community and Health Services and Prescribing (HCHSP) - Discretionary Allocation </t>
  </si>
  <si>
    <t xml:space="preserve">Renal Services </t>
  </si>
  <si>
    <t>Palliative care funding</t>
  </si>
  <si>
    <t>AWMSG</t>
  </si>
  <si>
    <t>WeMeRec</t>
  </si>
  <si>
    <t>Blood Borne Viral treatment centre funding</t>
  </si>
  <si>
    <t>Depreciation (Table 4 Column 1)</t>
  </si>
  <si>
    <t>Workforce Education &amp; Development and Finance (1)</t>
  </si>
  <si>
    <t>Value for all</t>
  </si>
  <si>
    <t>National Dietician Procurement role</t>
  </si>
  <si>
    <t>Job Evaluation Unit</t>
  </si>
  <si>
    <t>Repatriation of posts</t>
  </si>
  <si>
    <t>Pay Award (including element from WAST)</t>
  </si>
  <si>
    <t>TUPE of staff member to ABM</t>
  </si>
  <si>
    <t>GP Trainee (NWSSP support costs)</t>
  </si>
  <si>
    <t>TOTAL</t>
  </si>
  <si>
    <t>OVERALL TOTAL</t>
  </si>
  <si>
    <t>NWIS HB  changes</t>
  </si>
  <si>
    <t>Community Health Council funding</t>
  </si>
  <si>
    <t>Low Vision Service Wales (LVSW) - hosting</t>
  </si>
  <si>
    <t>Eye Health Examination Wales (EHEW) - hosting</t>
  </si>
  <si>
    <t>IMTP and Workforce</t>
  </si>
  <si>
    <t>Cluster funding</t>
  </si>
  <si>
    <t>Pathfinders</t>
  </si>
  <si>
    <t>Wet AMD</t>
  </si>
  <si>
    <t>Inverse Care Law</t>
  </si>
  <si>
    <t>Occupational Health for GPs</t>
  </si>
  <si>
    <t>Table 5</t>
  </si>
  <si>
    <t>Primary Care Funding</t>
  </si>
  <si>
    <t>Employers Salary Unit -  Recharges</t>
  </si>
  <si>
    <t>Staff transfer - Royal Glamorgan Hospital</t>
  </si>
  <si>
    <t>Employment Law Services transfer - Block 1</t>
  </si>
  <si>
    <t>Employment Law Services transfer - Block 2</t>
  </si>
  <si>
    <t>Surgical Material Testing Laboratory (SMTL)</t>
  </si>
  <si>
    <t>Primary Medical Care Advisory Team</t>
  </si>
  <si>
    <t>DX Expenses</t>
  </si>
  <si>
    <t>Summary - Revenue</t>
  </si>
  <si>
    <t>Summary - Capital</t>
  </si>
  <si>
    <t>Total (Health Boards)</t>
  </si>
  <si>
    <t>Health Boards</t>
  </si>
  <si>
    <t>NHS Trusts</t>
  </si>
  <si>
    <t>NHS Wales Shared Services Partnership</t>
  </si>
  <si>
    <t>Public Health Wales</t>
  </si>
  <si>
    <t>Welsh Ambulance Services</t>
  </si>
  <si>
    <t>Total (NHS Trusts)</t>
  </si>
  <si>
    <t>(Memorandum table)</t>
  </si>
  <si>
    <t>Total Amount (Already included in discretionary baseline)</t>
  </si>
  <si>
    <t>Brecon Group register</t>
  </si>
  <si>
    <t>Assistive Technology (Staff costs)</t>
  </si>
  <si>
    <t>National Imaging Academy</t>
  </si>
  <si>
    <t>Integrated Care Fund (Autism Allocations)</t>
  </si>
  <si>
    <t>Paramedic banding</t>
  </si>
  <si>
    <t>Revised remuneration &amp; time commitment (Chair WHSSC/EASC)</t>
  </si>
  <si>
    <t>Clinical Desk enhancements</t>
  </si>
  <si>
    <t>111 roll out</t>
  </si>
  <si>
    <t>Pay award Implementation costs</t>
  </si>
  <si>
    <t>National Clinical Assessment Service (NCAS)</t>
  </si>
  <si>
    <t>Hywel Dda - Accounts Payable Management</t>
  </si>
  <si>
    <t>PCS - CHC records service</t>
  </si>
  <si>
    <t>Deputy Head of Procurement</t>
  </si>
  <si>
    <t>Procurement Business Manager</t>
  </si>
  <si>
    <t>Supply Chain Operative</t>
  </si>
  <si>
    <t>Procurement clerk/OH officer</t>
  </si>
  <si>
    <t>Increase band of Head of Procurement</t>
  </si>
  <si>
    <t>Procurement Business Officer, Assistant &amp; Clerk</t>
  </si>
  <si>
    <t>Previous years hidden</t>
  </si>
  <si>
    <t>Table 3 - Shared Services Funding/ top slice</t>
  </si>
  <si>
    <t>Band 3 support GP single employer arrangement</t>
  </si>
  <si>
    <t>Funding to support relocation claims</t>
  </si>
  <si>
    <t>Tier 2 sponsorship arrangements</t>
  </si>
  <si>
    <t>Removal of WEDS commissioing funding</t>
  </si>
  <si>
    <t xml:space="preserve">Table 2 - Total Mental Health Ring Fenced </t>
  </si>
  <si>
    <t>Additional top slice: paramedic banding (to ring fenced table B1)</t>
  </si>
  <si>
    <t>All Wales Specialist Paediatric Lymphoedema Nurse</t>
  </si>
  <si>
    <t>Programme manager funding</t>
  </si>
  <si>
    <t>Funding for local communication activity in primary care</t>
  </si>
  <si>
    <t>DAN 24/7 helpine</t>
  </si>
  <si>
    <t>Genomics - Core Funding for AWMGS</t>
  </si>
  <si>
    <t>HEIW SLA</t>
  </si>
  <si>
    <t>WEDS adjustments</t>
  </si>
  <si>
    <t>Student award costs in WEDS budget</t>
  </si>
  <si>
    <t>Genomics for Precision Medicine Strategy (inc new Genetic Tests)</t>
  </si>
  <si>
    <t>ICF - Learning disabilities, children with complex needs, carers</t>
  </si>
  <si>
    <t>Integrated Care Fund (ICF) - Older People</t>
  </si>
  <si>
    <t>ICF - Children at the edge of care / in care</t>
  </si>
  <si>
    <t>2020-21 Recurrent HCHS and Prescribing Discretionary Allocation</t>
  </si>
  <si>
    <t>Provisional allocation 2020-21</t>
  </si>
  <si>
    <t>2020-21 Substance Misuse Ring-Fenced Funding</t>
  </si>
  <si>
    <t xml:space="preserve">Bridgend </t>
  </si>
  <si>
    <t>2018-19 Baseline adjustments:</t>
  </si>
  <si>
    <t>2017-18 and 2018-19 No Adjustments</t>
  </si>
  <si>
    <t>Provider/commissioner analysis for Bridgend actioned</t>
  </si>
  <si>
    <t>2018-19 Core uplift</t>
  </si>
  <si>
    <t>Agenda for Change funding</t>
  </si>
  <si>
    <t>Cwm Taf Morgannwg HB</t>
  </si>
  <si>
    <t>Swansea Bay HB</t>
  </si>
  <si>
    <t>Swansea Bay  HB</t>
  </si>
  <si>
    <t>In year allocation: PCR adjustments</t>
  </si>
  <si>
    <t>Amounts in the table below have been increased (core uplift applied to Table A3)</t>
  </si>
  <si>
    <t>In year change: Organ Donation leaflets</t>
  </si>
  <si>
    <t>In year allocation: DDRB Pay uplift</t>
  </si>
  <si>
    <t>In year change: Technology Enables Learning</t>
  </si>
  <si>
    <t>Core uplift 2020-21</t>
  </si>
  <si>
    <t>Critical care funding (including WHSSC funding)</t>
  </si>
  <si>
    <t>DDRB funding</t>
  </si>
  <si>
    <t>HEIW Baseline Allocation</t>
  </si>
  <si>
    <t>Transfer of Optometry Service from PHW</t>
  </si>
  <si>
    <t>Clinical Nurse Procurement - Aneurin Bevan</t>
  </si>
  <si>
    <t>NHS Wales Shared Services adjustments (Table 3)</t>
  </si>
  <si>
    <t>Training of Medical Emergency Response Incident Teams (MERIT)</t>
  </si>
  <si>
    <t>National Lymphedema funding</t>
  </si>
  <si>
    <t>Single Employer arrangement Pre Reg Pharmacy and Dental VTs</t>
  </si>
  <si>
    <t>HEIW</t>
  </si>
  <si>
    <t>Table 5: Recurrent Primary Care Development funding (Already in discretionary baseline  - not additional funding)</t>
  </si>
  <si>
    <t>Mental Health Services (Table 2 column 6)</t>
  </si>
  <si>
    <t>Summary: Unified Budget Allocations - Total HCHS, Drug Prescribing and Primary Care Contracts Resource Limit 2021-22</t>
  </si>
  <si>
    <t>2021-22 Recurrent HCHS and Prescribing Discretionary Allocation</t>
  </si>
  <si>
    <t>2021-22 HCHS Ring Fenced Allocation</t>
  </si>
  <si>
    <t>2021-22 Directed Expenditure</t>
  </si>
  <si>
    <t>Total 2021-22 HCHS and Prescribing Revenue Allocation</t>
  </si>
  <si>
    <t>2021-22 GMS Contract - Table C</t>
  </si>
  <si>
    <t>2021-22 Community Pharmacy Contract - Table E</t>
  </si>
  <si>
    <t>2021-22 Dental Contract - Table F</t>
  </si>
  <si>
    <t>Total Revenue Resource Limit 2021-22</t>
  </si>
  <si>
    <t>Table  A1: Hospital, Community and Health Services and Prescribing (HCHSP) - Discretionary Allocation for 2021-22- £ million</t>
  </si>
  <si>
    <t>Table A2: HCHSP Allocation 2021-22 Baseline Adjustments - (Column 2, Table A1)</t>
  </si>
  <si>
    <t>Table A3: Additional 2021-22 recurrent funding - (Column 3, Table A1)</t>
  </si>
  <si>
    <t>Table B1: HCHS Protected and Ring Fenced Revenue Allocations for 2021-22  £-million</t>
  </si>
  <si>
    <t>Provisional allocation 2021-22</t>
  </si>
  <si>
    <t>Provisional allocation for 2021-22</t>
  </si>
  <si>
    <t xml:space="preserve">2021-22 Increase </t>
  </si>
  <si>
    <t>2021-22 Substance Misuse Ring-Fenced Funding</t>
  </si>
  <si>
    <t>2021-22 Final HCHSP Ring Fenced Allocation</t>
  </si>
  <si>
    <t>2021-22 Total Mental Health Ring Fenced Allocation</t>
  </si>
  <si>
    <t>2021-22 changes: Additional SMTP top slice</t>
  </si>
  <si>
    <t>Total Shared Services Funding 2021-22</t>
  </si>
  <si>
    <t>Recurrent Adjustment 2021-22 (Table A2)</t>
  </si>
  <si>
    <t>2021-22 allocation</t>
  </si>
  <si>
    <t>2021-22 Baseline allocation</t>
  </si>
  <si>
    <t>2021-22 - No Adjustments</t>
  </si>
  <si>
    <t>Total 2021-22 Baseline Allocation</t>
  </si>
  <si>
    <t>Additional Cluster funding added 2021-22</t>
  </si>
  <si>
    <t>Summary: Baseline discretionary capital funding 2021-22</t>
  </si>
  <si>
    <t>2021-22 Baseline discretionary capital funding</t>
  </si>
  <si>
    <t xml:space="preserve">Final allocation for 2020-21 (recurrent elements) </t>
  </si>
  <si>
    <t xml:space="preserve">Final  allocation 2020-21 </t>
  </si>
  <si>
    <t>Provisional allocation           2020-21</t>
  </si>
  <si>
    <t>2020-21 Initial
HCHS Ring-Fenced Allocation</t>
  </si>
  <si>
    <t>2020-21 Pay and prices increase 2%</t>
  </si>
  <si>
    <t>Total Shared Services Top-Slice 2020-21</t>
  </si>
  <si>
    <t>Allocation for 2021-22</t>
  </si>
  <si>
    <t>In year adjustment: WHSSC Pay Award distribution for LHB Employed Staff</t>
  </si>
  <si>
    <t>Velindre NHS Trust Chief Operating Officer Post</t>
  </si>
  <si>
    <t>PH &amp; W Coordinator Posts (WHIG)</t>
  </si>
  <si>
    <t>In year adjustment: A4C Mapping to Commissioner Reversal (HEIW) (18-19 Pay Award)</t>
  </si>
  <si>
    <t>In year adjustment: Stop Smoking Wales Additional Funding 2020-21</t>
  </si>
  <si>
    <t>In year adjustment: Transfer for non dispensing practice</t>
  </si>
  <si>
    <t>In year adjustment: All Wales Procurement Pharmacist</t>
  </si>
  <si>
    <t>Primary Care Funding (National Director and Strategic Programme Lead for Primary Care) (see Table 5)</t>
  </si>
  <si>
    <t>National Director and Strategic Programme Lead for Primary Care</t>
  </si>
  <si>
    <t>In year allocations: Transfer for non dispensing practice</t>
  </si>
  <si>
    <t>In year funding: transfer for non dispensng practice</t>
  </si>
  <si>
    <t>In year allocation: Gwen am byth</t>
  </si>
  <si>
    <t>In year allocation: Designed to Smile/ Emergency dental transfer</t>
  </si>
  <si>
    <t>In year funding: Additional funding</t>
  </si>
  <si>
    <t>In year adjustment: Additional Cross Border - Tariff Increase (WHSSC &amp; Organisation specific funding)</t>
  </si>
  <si>
    <t>In year change: Eating Disorders</t>
  </si>
  <si>
    <t>In year change: Mental Health Service Improvement Fund</t>
  </si>
  <si>
    <t>In year change: WHSSC Wales Gender Services - Peer Support</t>
  </si>
  <si>
    <t>In year change: Prison Health</t>
  </si>
  <si>
    <t>Critical care funding (EASC funding)</t>
  </si>
  <si>
    <t>EASC £1.7m</t>
  </si>
  <si>
    <t>In year adjustment: A4C funding</t>
  </si>
  <si>
    <t>Endometriosis Nursing posts (WHIG)</t>
  </si>
  <si>
    <t>In HCHS</t>
  </si>
  <si>
    <t>Treatment fund</t>
  </si>
  <si>
    <t>Total 2021-22 HCHS Ring Fenced Allocation (carried forward to Summary Table)</t>
  </si>
  <si>
    <r>
      <t xml:space="preserve"> </t>
    </r>
    <r>
      <rPr>
        <b/>
        <sz val="12"/>
        <rFont val="Arial"/>
        <family val="2"/>
      </rPr>
      <t>£6.730m</t>
    </r>
    <r>
      <rPr>
        <sz val="12"/>
        <rFont val="Arial"/>
        <family val="2"/>
      </rPr>
      <t xml:space="preserve"> 20-21 </t>
    </r>
    <r>
      <rPr>
        <b/>
        <sz val="12"/>
        <rFont val="Arial"/>
        <family val="2"/>
      </rPr>
      <t xml:space="preserve">£7.904m </t>
    </r>
    <r>
      <rPr>
        <sz val="12"/>
        <rFont val="Arial"/>
        <family val="2"/>
      </rPr>
      <t xml:space="preserve">for 21-22 additional </t>
    </r>
    <r>
      <rPr>
        <b/>
        <sz val="12"/>
        <rFont val="Arial"/>
        <family val="2"/>
      </rPr>
      <t>£1.174m</t>
    </r>
    <r>
      <rPr>
        <sz val="12"/>
        <rFont val="Arial"/>
        <family val="2"/>
      </rPr>
      <t>, added to Table B1</t>
    </r>
  </si>
  <si>
    <t>Additional £1.174m added for 21-22</t>
  </si>
  <si>
    <t xml:space="preserve">As per 20-21 allocations </t>
  </si>
  <si>
    <t>In year adjustment: Major Trauma funding (WHSSC &amp; EASC)</t>
  </si>
  <si>
    <t>21-22 funding (WHSSC £12.640m/ EASC £0.640m) as per letters</t>
  </si>
  <si>
    <t>Action in Draft</t>
  </si>
  <si>
    <t>In year allocations : Access agreed uplift</t>
  </si>
  <si>
    <t>In year allocations : 2020-21 agreed uplift (pay &amp; expenses)</t>
  </si>
  <si>
    <t>Organisation specific adjustment (non recurrent 3 year arrangement)</t>
  </si>
  <si>
    <t>Immunisation funding (Pertussis for pregnant women)</t>
  </si>
  <si>
    <t>Immunisation funding (HPV-MSM)</t>
  </si>
  <si>
    <t>Unit 13 Court Road residual funding of Cwmbran stores transfer</t>
  </si>
  <si>
    <t>Bank/ Medical recruitment transfer CTM</t>
  </si>
  <si>
    <t>IP5 funding</t>
  </si>
  <si>
    <t>IP5 lab PSBA recurrent costs (transfer from PHW)</t>
  </si>
  <si>
    <t>From HCHS to NWSSP</t>
  </si>
  <si>
    <t xml:space="preserve">Data Analyst </t>
  </si>
  <si>
    <t>21-22 changes (CTM £1.380m/ S Bay £0.151m)</t>
  </si>
  <si>
    <t>Digital Health Care Wales</t>
  </si>
  <si>
    <t>Additional £271,704</t>
  </si>
  <si>
    <t>A Healthier Wales: Rehabilitation, Recovery &amp; Reablement Services</t>
  </si>
  <si>
    <t>A Healthier Wales: Assistive Technology</t>
  </si>
  <si>
    <t>A Healthier Wales: Disability Sports Wales funding</t>
  </si>
  <si>
    <t>A Healthier Wales: Running Blades</t>
  </si>
  <si>
    <t>Quality &amp; Care</t>
  </si>
  <si>
    <t>Additional top slice: 111 service (to table B2)</t>
  </si>
  <si>
    <t>Executive Senior Pay (ESP) funding</t>
  </si>
  <si>
    <t>Single Lead Employer support costs</t>
  </si>
  <si>
    <t>Core Uplift 2021-22</t>
  </si>
  <si>
    <t>Core cost and demand uplift for 2021-22</t>
  </si>
  <si>
    <t>Core cost and demand uplift 2021-22</t>
  </si>
  <si>
    <r>
      <t>£8.490m</t>
    </r>
    <r>
      <rPr>
        <sz val="12"/>
        <rFont val="Arial"/>
        <family val="2"/>
      </rPr>
      <t xml:space="preserve"> for 20-21</t>
    </r>
    <r>
      <rPr>
        <b/>
        <sz val="12"/>
        <rFont val="Arial"/>
        <family val="2"/>
      </rPr>
      <t xml:space="preserve">, £15.198m </t>
    </r>
    <r>
      <rPr>
        <sz val="12"/>
        <rFont val="Arial"/>
        <family val="2"/>
      </rPr>
      <t xml:space="preserve">for 21-22 </t>
    </r>
    <r>
      <rPr>
        <b/>
        <sz val="12"/>
        <rFont val="Arial"/>
        <family val="2"/>
      </rPr>
      <t xml:space="preserve">(additional £6.708m), </t>
    </r>
    <r>
      <rPr>
        <sz val="12"/>
        <rFont val="Arial"/>
        <family val="2"/>
      </rPr>
      <t>added to Table B2</t>
    </r>
  </si>
  <si>
    <t>Primary Care - GP Adverts</t>
  </si>
  <si>
    <t>Strategic Pay Modelling</t>
  </si>
  <si>
    <r>
      <t xml:space="preserve">Additional </t>
    </r>
    <r>
      <rPr>
        <b/>
        <sz val="12"/>
        <rFont val="Arial"/>
        <family val="2"/>
      </rPr>
      <t>£6.708m</t>
    </r>
    <r>
      <rPr>
        <sz val="12"/>
        <rFont val="Arial"/>
        <family val="2"/>
      </rPr>
      <t xml:space="preserve"> from Table A2</t>
    </r>
  </si>
  <si>
    <t>Baseline Adjustments
 (Table A2)</t>
  </si>
  <si>
    <t>Additional Recurrent funding (Table A3)</t>
  </si>
  <si>
    <t>2021-22 additional contract funding</t>
  </si>
  <si>
    <t>Memorandum table: DDRB</t>
  </si>
  <si>
    <t>Adjustment for 2021-22: Completed Primary Care scheme</t>
  </si>
  <si>
    <t>12-13 Allocation (adj 19/20 Bridgend)</t>
  </si>
  <si>
    <t>13-14 Baseline allocation (adj 19/20 Bridgend)</t>
  </si>
  <si>
    <t>2015-16 Baseline allocation (adj 19/20 Bridgend)</t>
  </si>
  <si>
    <t>2016-17 &amp; 2017-18 No Adjustments (adj 19/20 Bridgend)</t>
  </si>
  <si>
    <t>2018-19 Baseline allocation (adj 19/20 Bridgend)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</si>
</sst>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3" formatCode="_-* #,##0.00_-;\-* #,##0.00_-;_-* &quot;-&quot;??_-;_-@_-"/>
    <numFmt numFmtId="164" formatCode="#,##0.000;\(#,##0.000\);\-"/>
    <numFmt numFmtId="165" formatCode="0.0%"/>
    <numFmt numFmtId="166" formatCode="#,##0;\(#,##0\);\-"/>
    <numFmt numFmtId="167" formatCode="0.000"/>
    <numFmt numFmtId="168" formatCode="#,##0.000;\(#,##0.000\)"/>
    <numFmt numFmtId="169" formatCode="_-* #,##0_-;\-* #,##0_-;_-* &quot;-&quot;??_-;_-@_-"/>
    <numFmt numFmtId="170" formatCode="0.0000000"/>
    <numFmt numFmtId="171" formatCode="_-* #,##0.000_-;\-* #,##0.000_-;_-* &quot;-&quot;??_-;_-@_-"/>
    <numFmt numFmtId="172" formatCode="#,##0.00000;\(#,##0.00000\)"/>
    <numFmt numFmtId="173" formatCode="&quot;£&quot;#,##0.000"/>
  </numFmts>
  <fonts count="44">
    <font>
      <sz val="12"/>
      <name val="Arial"/>
    </font>
    <font>
      <sz val="12"/>
      <color theme="1"/>
      <name val="Arial"/>
      <family val="2"/>
    </font>
    <font>
      <sz val="12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2"/>
      <color indexed="10"/>
      <name val="Arial"/>
      <family val="2"/>
    </font>
    <font>
      <sz val="8"/>
      <name val="Arial"/>
      <family val="2"/>
    </font>
    <font>
      <b/>
      <sz val="12"/>
      <color indexed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Verdana"/>
      <family val="2"/>
    </font>
    <font>
      <b/>
      <i/>
      <sz val="12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b/>
      <u/>
      <sz val="12"/>
      <name val="Arial"/>
      <family val="2"/>
    </font>
    <font>
      <i/>
      <sz val="12"/>
      <name val="Arial"/>
      <family val="2"/>
    </font>
    <font>
      <b/>
      <sz val="12"/>
      <color rgb="FFFF0000"/>
      <name val="Arial"/>
      <family val="2"/>
    </font>
    <font>
      <i/>
      <sz val="12"/>
      <color theme="1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</fills>
  <borders count="9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60">
    <xf numFmtId="0" fontId="0" fillId="0" borderId="0"/>
    <xf numFmtId="0" fontId="13" fillId="0" borderId="0"/>
    <xf numFmtId="0" fontId="3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8" borderId="0" applyNumberFormat="0" applyBorder="0" applyAlignment="0" applyProtection="0"/>
    <xf numFmtId="0" fontId="14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9" borderId="0" applyNumberFormat="0" applyBorder="0" applyAlignment="0" applyProtection="0"/>
    <xf numFmtId="0" fontId="16" fillId="3" borderId="0" applyNumberFormat="0" applyBorder="0" applyAlignment="0" applyProtection="0"/>
    <xf numFmtId="0" fontId="17" fillId="20" borderId="1" applyNumberFormat="0" applyAlignment="0" applyProtection="0"/>
    <xf numFmtId="0" fontId="18" fillId="21" borderId="2" applyNumberFormat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4" borderId="0" applyNumberFormat="0" applyBorder="0" applyAlignment="0" applyProtection="0"/>
    <xf numFmtId="0" fontId="21" fillId="0" borderId="3" applyNumberFormat="0" applyFill="0" applyAlignment="0" applyProtection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3" fillId="0" borderId="0" applyNumberFormat="0" applyFill="0" applyBorder="0" applyAlignment="0" applyProtection="0"/>
    <xf numFmtId="0" fontId="24" fillId="7" borderId="1" applyNumberFormat="0" applyAlignment="0" applyProtection="0"/>
    <xf numFmtId="0" fontId="25" fillId="0" borderId="6" applyNumberFormat="0" applyFill="0" applyAlignment="0" applyProtection="0"/>
    <xf numFmtId="0" fontId="26" fillId="22" borderId="0" applyNumberFormat="0" applyBorder="0" applyAlignment="0" applyProtection="0"/>
    <xf numFmtId="0" fontId="14" fillId="0" borderId="0"/>
    <xf numFmtId="0" fontId="7" fillId="0" borderId="0"/>
    <xf numFmtId="0" fontId="13" fillId="0" borderId="0"/>
    <xf numFmtId="0" fontId="4" fillId="0" borderId="0"/>
    <xf numFmtId="0" fontId="3" fillId="0" borderId="0"/>
    <xf numFmtId="0" fontId="2" fillId="23" borderId="7" applyNumberFormat="0" applyFont="0" applyAlignment="0" applyProtection="0"/>
    <xf numFmtId="0" fontId="7" fillId="23" borderId="7" applyNumberFormat="0" applyFont="0" applyAlignment="0" applyProtection="0"/>
    <xf numFmtId="0" fontId="27" fillId="20" borderId="8" applyNumberFormat="0" applyAlignment="0" applyProtection="0"/>
    <xf numFmtId="40" fontId="31" fillId="24" borderId="0">
      <alignment horizontal="right"/>
    </xf>
    <xf numFmtId="0" fontId="32" fillId="24" borderId="0">
      <alignment horizontal="right"/>
    </xf>
    <xf numFmtId="0" fontId="33" fillId="24" borderId="9"/>
    <xf numFmtId="0" fontId="33" fillId="0" borderId="0" applyBorder="0">
      <alignment horizontal="centerContinuous"/>
    </xf>
    <xf numFmtId="0" fontId="34" fillId="25" borderId="10">
      <alignment horizontal="centerContinuous"/>
    </xf>
    <xf numFmtId="9" fontId="2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11" applyNumberFormat="0" applyFill="0" applyAlignment="0" applyProtection="0"/>
    <xf numFmtId="0" fontId="30" fillId="0" borderId="0" applyNumberFormat="0" applyFill="0" applyBorder="0" applyAlignment="0" applyProtection="0"/>
  </cellStyleXfs>
  <cellXfs count="525">
    <xf numFmtId="0" fontId="0" fillId="0" borderId="0" xfId="0"/>
    <xf numFmtId="0" fontId="7" fillId="0" borderId="12" xfId="0" applyFont="1" applyFill="1" applyBorder="1" applyAlignment="1">
      <alignment vertical="center"/>
    </xf>
    <xf numFmtId="0" fontId="5" fillId="0" borderId="12" xfId="0" applyFont="1" applyFill="1" applyBorder="1" applyAlignment="1">
      <alignment vertical="center"/>
    </xf>
    <xf numFmtId="164" fontId="5" fillId="0" borderId="12" xfId="0" applyNumberFormat="1" applyFont="1" applyFill="1" applyBorder="1" applyAlignment="1">
      <alignment vertical="top"/>
    </xf>
    <xf numFmtId="164" fontId="6" fillId="0" borderId="0" xfId="0" applyNumberFormat="1" applyFont="1" applyFill="1" applyBorder="1" applyAlignment="1">
      <alignment horizontal="centerContinuous" wrapText="1"/>
    </xf>
    <xf numFmtId="164" fontId="5" fillId="0" borderId="0" xfId="0" applyNumberFormat="1" applyFont="1" applyFill="1" applyBorder="1" applyAlignment="1"/>
    <xf numFmtId="0" fontId="5" fillId="0" borderId="0" xfId="0" applyNumberFormat="1" applyFont="1" applyFill="1" applyBorder="1" applyAlignment="1">
      <alignment horizontal="left" vertical="top"/>
    </xf>
    <xf numFmtId="166" fontId="5" fillId="0" borderId="13" xfId="0" applyNumberFormat="1" applyFont="1" applyFill="1" applyBorder="1" applyAlignment="1">
      <alignment horizontal="center"/>
    </xf>
    <xf numFmtId="0" fontId="7" fillId="0" borderId="0" xfId="0" applyFont="1" applyFill="1" applyBorder="1"/>
    <xf numFmtId="0" fontId="5" fillId="0" borderId="0" xfId="0" applyFont="1" applyFill="1" applyBorder="1"/>
    <xf numFmtId="0" fontId="7" fillId="0" borderId="0" xfId="0" applyFont="1" applyFill="1" applyBorder="1" applyAlignment="1">
      <alignment vertical="center"/>
    </xf>
    <xf numFmtId="164" fontId="5" fillId="0" borderId="0" xfId="0" applyNumberFormat="1" applyFont="1" applyFill="1" applyBorder="1" applyAlignment="1">
      <alignment vertical="center"/>
    </xf>
    <xf numFmtId="1" fontId="5" fillId="0" borderId="14" xfId="0" applyNumberFormat="1" applyFont="1" applyFill="1" applyBorder="1" applyAlignment="1">
      <alignment horizontal="center" vertical="center"/>
    </xf>
    <xf numFmtId="1" fontId="7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vertical="top"/>
    </xf>
    <xf numFmtId="164" fontId="7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vertical="center"/>
    </xf>
    <xf numFmtId="164" fontId="5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15" xfId="0" applyNumberFormat="1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right" vertical="center"/>
    </xf>
    <xf numFmtId="164" fontId="5" fillId="0" borderId="10" xfId="0" applyNumberFormat="1" applyFont="1" applyFill="1" applyBorder="1" applyAlignment="1">
      <alignment horizontal="right" vertical="center" wrapText="1"/>
    </xf>
    <xf numFmtId="164" fontId="5" fillId="0" borderId="0" xfId="0" applyNumberFormat="1" applyFont="1" applyFill="1" applyBorder="1" applyAlignment="1">
      <alignment horizontal="centerContinuous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/>
    <xf numFmtId="0" fontId="8" fillId="0" borderId="0" xfId="0" applyFont="1" applyFill="1" applyAlignment="1">
      <alignment vertical="top"/>
    </xf>
    <xf numFmtId="1" fontId="5" fillId="0" borderId="12" xfId="0" applyNumberFormat="1" applyFont="1" applyFill="1" applyBorder="1" applyAlignment="1">
      <alignment horizontal="left" vertical="center"/>
    </xf>
    <xf numFmtId="164" fontId="5" fillId="0" borderId="16" xfId="0" applyNumberFormat="1" applyFont="1" applyFill="1" applyBorder="1" applyAlignment="1">
      <alignment horizontal="right" vertical="top" wrapText="1"/>
    </xf>
    <xf numFmtId="0" fontId="5" fillId="0" borderId="0" xfId="0" applyFont="1" applyFill="1"/>
    <xf numFmtId="164" fontId="7" fillId="0" borderId="17" xfId="0" applyNumberFormat="1" applyFont="1" applyFill="1" applyBorder="1" applyAlignment="1">
      <alignment horizontal="right" wrapText="1"/>
    </xf>
    <xf numFmtId="164" fontId="7" fillId="0" borderId="10" xfId="0" applyNumberFormat="1" applyFont="1" applyFill="1" applyBorder="1" applyAlignment="1">
      <alignment horizontal="right" wrapText="1"/>
    </xf>
    <xf numFmtId="164" fontId="7" fillId="0" borderId="16" xfId="0" applyNumberFormat="1" applyFont="1" applyFill="1" applyBorder="1" applyAlignment="1">
      <alignment horizontal="right" vertical="top" wrapText="1"/>
    </xf>
    <xf numFmtId="0" fontId="5" fillId="0" borderId="15" xfId="0" applyFont="1" applyFill="1" applyBorder="1"/>
    <xf numFmtId="0" fontId="7" fillId="0" borderId="0" xfId="0" applyFont="1" applyFill="1" applyAlignment="1">
      <alignment horizontal="right"/>
    </xf>
    <xf numFmtId="164" fontId="5" fillId="0" borderId="10" xfId="0" applyNumberFormat="1" applyFont="1" applyFill="1" applyBorder="1"/>
    <xf numFmtId="164" fontId="5" fillId="0" borderId="16" xfId="0" applyNumberFormat="1" applyFont="1" applyFill="1" applyBorder="1"/>
    <xf numFmtId="0" fontId="7" fillId="0" borderId="0" xfId="0" applyFont="1" applyFill="1" applyBorder="1" applyAlignment="1">
      <alignment horizontal="center"/>
    </xf>
    <xf numFmtId="164" fontId="7" fillId="0" borderId="0" xfId="0" applyNumberFormat="1" applyFont="1" applyFill="1" applyBorder="1" applyAlignment="1">
      <alignment horizontal="center" wrapText="1"/>
    </xf>
    <xf numFmtId="166" fontId="5" fillId="0" borderId="14" xfId="0" applyNumberFormat="1" applyFont="1" applyFill="1" applyBorder="1" applyAlignment="1"/>
    <xf numFmtId="164" fontId="7" fillId="0" borderId="16" xfId="0" applyNumberFormat="1" applyFont="1" applyFill="1" applyBorder="1" applyAlignment="1">
      <alignment horizontal="right" wrapText="1"/>
    </xf>
    <xf numFmtId="0" fontId="5" fillId="0" borderId="15" xfId="0" applyFont="1" applyFill="1" applyBorder="1" applyAlignment="1">
      <alignment vertical="center"/>
    </xf>
    <xf numFmtId="0" fontId="10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/>
    </xf>
    <xf numFmtId="164" fontId="5" fillId="0" borderId="19" xfId="0" applyNumberFormat="1" applyFont="1" applyFill="1" applyBorder="1" applyAlignment="1">
      <alignment vertical="top"/>
    </xf>
    <xf numFmtId="166" fontId="5" fillId="0" borderId="20" xfId="0" applyNumberFormat="1" applyFont="1" applyFill="1" applyBorder="1" applyAlignment="1">
      <alignment horizontal="center"/>
    </xf>
    <xf numFmtId="164" fontId="5" fillId="0" borderId="14" xfId="0" applyNumberFormat="1" applyFont="1" applyFill="1" applyBorder="1" applyAlignment="1">
      <alignment vertical="top"/>
    </xf>
    <xf numFmtId="166" fontId="5" fillId="0" borderId="21" xfId="0" applyNumberFormat="1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left" vertical="top" wrapText="1"/>
    </xf>
    <xf numFmtId="0" fontId="2" fillId="0" borderId="0" xfId="0" applyFont="1" applyFill="1"/>
    <xf numFmtId="166" fontId="2" fillId="0" borderId="0" xfId="0" applyNumberFormat="1" applyFont="1" applyFill="1"/>
    <xf numFmtId="1" fontId="5" fillId="0" borderId="13" xfId="0" applyNumberFormat="1" applyFont="1" applyFill="1" applyBorder="1" applyAlignment="1">
      <alignment horizontal="center" vertical="center"/>
    </xf>
    <xf numFmtId="0" fontId="5" fillId="0" borderId="0" xfId="0" applyFont="1"/>
    <xf numFmtId="164" fontId="5" fillId="0" borderId="14" xfId="0" applyNumberFormat="1" applyFont="1" applyFill="1" applyBorder="1" applyAlignment="1">
      <alignment horizontal="center" vertical="center"/>
    </xf>
    <xf numFmtId="164" fontId="2" fillId="0" borderId="0" xfId="0" applyNumberFormat="1" applyFont="1" applyFill="1"/>
    <xf numFmtId="164" fontId="5" fillId="0" borderId="22" xfId="0" applyNumberFormat="1" applyFont="1" applyFill="1" applyBorder="1" applyAlignment="1">
      <alignment horizontal="right" vertical="center" wrapText="1"/>
    </xf>
    <xf numFmtId="0" fontId="7" fillId="0" borderId="0" xfId="0" applyFont="1"/>
    <xf numFmtId="0" fontId="9" fillId="0" borderId="0" xfId="0" applyFont="1" applyFill="1" applyAlignment="1">
      <alignment horizontal="left"/>
    </xf>
    <xf numFmtId="164" fontId="5" fillId="0" borderId="10" xfId="0" applyNumberFormat="1" applyFont="1" applyFill="1" applyBorder="1" applyAlignment="1">
      <alignment horizontal="right" wrapText="1"/>
    </xf>
    <xf numFmtId="164" fontId="5" fillId="0" borderId="10" xfId="0" applyNumberFormat="1" applyFont="1" applyFill="1" applyBorder="1" applyAlignment="1">
      <alignment vertical="center"/>
    </xf>
    <xf numFmtId="164" fontId="5" fillId="0" borderId="22" xfId="0" applyNumberFormat="1" applyFont="1" applyFill="1" applyBorder="1"/>
    <xf numFmtId="164" fontId="5" fillId="0" borderId="22" xfId="0" applyNumberFormat="1" applyFont="1" applyFill="1" applyBorder="1" applyAlignment="1">
      <alignment horizontal="right" vertical="center"/>
    </xf>
    <xf numFmtId="164" fontId="5" fillId="0" borderId="16" xfId="0" applyNumberFormat="1" applyFont="1" applyFill="1" applyBorder="1" applyAlignment="1">
      <alignment horizontal="right" wrapText="1"/>
    </xf>
    <xf numFmtId="0" fontId="5" fillId="0" borderId="23" xfId="0" applyFont="1" applyFill="1" applyBorder="1" applyAlignment="1">
      <alignment vertical="center"/>
    </xf>
    <xf numFmtId="164" fontId="5" fillId="0" borderId="0" xfId="0" applyNumberFormat="1" applyFont="1" applyFill="1"/>
    <xf numFmtId="167" fontId="5" fillId="26" borderId="25" xfId="0" applyNumberFormat="1" applyFont="1" applyFill="1" applyBorder="1" applyAlignment="1">
      <alignment horizontal="center" vertical="top" textRotation="180" wrapText="1"/>
    </xf>
    <xf numFmtId="164" fontId="5" fillId="0" borderId="17" xfId="0" applyNumberFormat="1" applyFont="1" applyFill="1" applyBorder="1"/>
    <xf numFmtId="0" fontId="7" fillId="0" borderId="27" xfId="0" applyFont="1" applyFill="1" applyBorder="1" applyAlignment="1">
      <alignment vertical="center"/>
    </xf>
    <xf numFmtId="164" fontId="5" fillId="0" borderId="10" xfId="0" applyNumberFormat="1" applyFont="1" applyFill="1" applyBorder="1" applyAlignment="1">
      <alignment vertical="top"/>
    </xf>
    <xf numFmtId="164" fontId="5" fillId="0" borderId="17" xfId="0" applyNumberFormat="1" applyFont="1" applyFill="1" applyBorder="1" applyAlignment="1">
      <alignment horizontal="center" wrapText="1"/>
    </xf>
    <xf numFmtId="0" fontId="5" fillId="0" borderId="10" xfId="0" applyFont="1" applyFill="1" applyBorder="1" applyAlignment="1">
      <alignment horizontal="center" vertical="top" wrapText="1"/>
    </xf>
    <xf numFmtId="164" fontId="5" fillId="0" borderId="0" xfId="0" applyNumberFormat="1" applyFont="1" applyFill="1" applyBorder="1" applyAlignment="1">
      <alignment horizontal="center" wrapText="1"/>
    </xf>
    <xf numFmtId="0" fontId="12" fillId="0" borderId="0" xfId="0" applyFont="1" applyFill="1" applyAlignment="1">
      <alignment horizontal="right"/>
    </xf>
    <xf numFmtId="0" fontId="5" fillId="0" borderId="0" xfId="0" applyFont="1" applyFill="1" applyAlignment="1">
      <alignment horizontal="center"/>
    </xf>
    <xf numFmtId="164" fontId="7" fillId="0" borderId="16" xfId="0" applyNumberFormat="1" applyFont="1" applyFill="1" applyBorder="1" applyAlignment="1">
      <alignment horizontal="center" wrapText="1"/>
    </xf>
    <xf numFmtId="0" fontId="5" fillId="28" borderId="29" xfId="0" applyFont="1" applyFill="1" applyBorder="1"/>
    <xf numFmtId="0" fontId="5" fillId="28" borderId="30" xfId="0" applyFont="1" applyFill="1" applyBorder="1"/>
    <xf numFmtId="0" fontId="5" fillId="28" borderId="31" xfId="0" applyFont="1" applyFill="1" applyBorder="1"/>
    <xf numFmtId="0" fontId="5" fillId="28" borderId="32" xfId="0" applyFont="1" applyFill="1" applyBorder="1"/>
    <xf numFmtId="0" fontId="5" fillId="28" borderId="33" xfId="0" applyFont="1" applyFill="1" applyBorder="1"/>
    <xf numFmtId="0" fontId="5" fillId="28" borderId="34" xfId="0" applyFont="1" applyFill="1" applyBorder="1"/>
    <xf numFmtId="167" fontId="12" fillId="0" borderId="10" xfId="0" applyNumberFormat="1" applyFont="1" applyFill="1" applyBorder="1" applyAlignment="1">
      <alignment horizontal="center" vertical="top" wrapText="1"/>
    </xf>
    <xf numFmtId="164" fontId="5" fillId="26" borderId="35" xfId="0" applyNumberFormat="1" applyFont="1" applyFill="1" applyBorder="1" applyAlignment="1">
      <alignment horizontal="center" vertical="top" wrapText="1"/>
    </xf>
    <xf numFmtId="0" fontId="5" fillId="26" borderId="36" xfId="0" applyFont="1" applyFill="1" applyBorder="1" applyAlignment="1">
      <alignment horizontal="center" vertical="top" wrapText="1"/>
    </xf>
    <xf numFmtId="0" fontId="5" fillId="26" borderId="10" xfId="0" applyFont="1" applyFill="1" applyBorder="1" applyAlignment="1">
      <alignment horizontal="center" vertical="top" wrapText="1"/>
    </xf>
    <xf numFmtId="0" fontId="5" fillId="26" borderId="37" xfId="0" applyFont="1" applyFill="1" applyBorder="1" applyAlignment="1">
      <alignment horizontal="center" vertical="top" wrapText="1"/>
    </xf>
    <xf numFmtId="164" fontId="7" fillId="0" borderId="37" xfId="0" applyNumberFormat="1" applyFont="1" applyFill="1" applyBorder="1" applyAlignment="1">
      <alignment horizontal="right" vertical="top" wrapText="1"/>
    </xf>
    <xf numFmtId="164" fontId="5" fillId="0" borderId="38" xfId="0" applyNumberFormat="1" applyFont="1" applyFill="1" applyBorder="1" applyAlignment="1">
      <alignment horizontal="right" vertical="top" wrapText="1"/>
    </xf>
    <xf numFmtId="168" fontId="5" fillId="0" borderId="0" xfId="0" applyNumberFormat="1" applyFont="1" applyFill="1" applyBorder="1" applyAlignment="1">
      <alignment vertical="center"/>
    </xf>
    <xf numFmtId="49" fontId="5" fillId="0" borderId="0" xfId="0" applyNumberFormat="1" applyFont="1" applyFill="1" applyAlignment="1">
      <alignment horizontal="center" vertical="center"/>
    </xf>
    <xf numFmtId="1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top" wrapText="1"/>
    </xf>
    <xf numFmtId="1" fontId="5" fillId="0" borderId="12" xfId="0" applyNumberFormat="1" applyFont="1" applyFill="1" applyBorder="1" applyAlignment="1">
      <alignment horizontal="center" vertical="center"/>
    </xf>
    <xf numFmtId="168" fontId="5" fillId="0" borderId="10" xfId="0" applyNumberFormat="1" applyFont="1" applyFill="1" applyBorder="1" applyAlignment="1">
      <alignment horizontal="center" vertical="center"/>
    </xf>
    <xf numFmtId="168" fontId="7" fillId="0" borderId="10" xfId="0" applyNumberFormat="1" applyFont="1" applyFill="1" applyBorder="1" applyAlignment="1">
      <alignment horizontal="right" vertical="center" wrapText="1"/>
    </xf>
    <xf numFmtId="168" fontId="7" fillId="0" borderId="0" xfId="0" applyNumberFormat="1" applyFont="1" applyFill="1" applyAlignment="1">
      <alignment vertical="center"/>
    </xf>
    <xf numFmtId="164" fontId="5" fillId="0" borderId="39" xfId="0" applyNumberFormat="1" applyFont="1" applyFill="1" applyBorder="1" applyAlignment="1">
      <alignment horizontal="center" wrapText="1"/>
    </xf>
    <xf numFmtId="164" fontId="5" fillId="0" borderId="17" xfId="0" applyNumberFormat="1" applyFont="1" applyFill="1" applyBorder="1" applyAlignment="1">
      <alignment horizontal="right" wrapText="1"/>
    </xf>
    <xf numFmtId="0" fontId="5" fillId="0" borderId="27" xfId="0" applyFont="1" applyFill="1" applyBorder="1" applyAlignment="1">
      <alignment vertical="center"/>
    </xf>
    <xf numFmtId="164" fontId="5" fillId="0" borderId="35" xfId="0" applyNumberFormat="1" applyFont="1" applyFill="1" applyBorder="1" applyAlignment="1">
      <alignment horizontal="right" wrapText="1"/>
    </xf>
    <xf numFmtId="0" fontId="5" fillId="0" borderId="19" xfId="0" applyFont="1" applyFill="1" applyBorder="1" applyAlignment="1">
      <alignment vertical="center"/>
    </xf>
    <xf numFmtId="168" fontId="5" fillId="0" borderId="10" xfId="0" applyNumberFormat="1" applyFont="1" applyFill="1" applyBorder="1" applyAlignment="1">
      <alignment horizontal="right" vertical="center" wrapText="1"/>
    </xf>
    <xf numFmtId="168" fontId="5" fillId="0" borderId="35" xfId="0" applyNumberFormat="1" applyFont="1" applyFill="1" applyBorder="1" applyAlignment="1">
      <alignment horizontal="right" vertical="center" wrapText="1"/>
    </xf>
    <xf numFmtId="166" fontId="5" fillId="0" borderId="40" xfId="0" applyNumberFormat="1" applyFont="1" applyFill="1" applyBorder="1" applyAlignment="1">
      <alignment horizontal="center" vertical="center"/>
    </xf>
    <xf numFmtId="167" fontId="12" fillId="0" borderId="17" xfId="0" applyNumberFormat="1" applyFont="1" applyFill="1" applyBorder="1" applyAlignment="1">
      <alignment horizontal="center" vertical="top" wrapText="1"/>
    </xf>
    <xf numFmtId="167" fontId="10" fillId="0" borderId="17" xfId="0" applyNumberFormat="1" applyFont="1" applyFill="1" applyBorder="1" applyAlignment="1">
      <alignment horizontal="right" vertical="top" wrapText="1"/>
    </xf>
    <xf numFmtId="167" fontId="5" fillId="0" borderId="0" xfId="0" applyNumberFormat="1" applyFont="1" applyFill="1" applyBorder="1" applyAlignment="1">
      <alignment horizontal="right" vertical="center" wrapText="1"/>
    </xf>
    <xf numFmtId="167" fontId="7" fillId="0" borderId="0" xfId="0" applyNumberFormat="1" applyFont="1" applyFill="1" applyAlignment="1">
      <alignment horizontal="right" vertical="center"/>
    </xf>
    <xf numFmtId="164" fontId="5" fillId="0" borderId="41" xfId="0" applyNumberFormat="1" applyFont="1" applyFill="1" applyBorder="1" applyAlignment="1">
      <alignment horizontal="right" vertical="center"/>
    </xf>
    <xf numFmtId="164" fontId="5" fillId="0" borderId="16" xfId="0" applyNumberFormat="1" applyFont="1" applyFill="1" applyBorder="1" applyAlignment="1">
      <alignment vertical="top"/>
    </xf>
    <xf numFmtId="164" fontId="5" fillId="0" borderId="24" xfId="0" applyNumberFormat="1" applyFont="1" applyFill="1" applyBorder="1" applyAlignment="1">
      <alignment vertical="top"/>
    </xf>
    <xf numFmtId="164" fontId="7" fillId="0" borderId="26" xfId="0" applyNumberFormat="1" applyFont="1" applyFill="1" applyBorder="1" applyAlignment="1">
      <alignment horizontal="right" wrapText="1"/>
    </xf>
    <xf numFmtId="164" fontId="7" fillId="0" borderId="39" xfId="0" applyNumberFormat="1" applyFont="1" applyFill="1" applyBorder="1" applyAlignment="1">
      <alignment horizontal="right" wrapText="1"/>
    </xf>
    <xf numFmtId="164" fontId="7" fillId="0" borderId="38" xfId="0" applyNumberFormat="1" applyFont="1" applyFill="1" applyBorder="1" applyAlignment="1">
      <alignment horizontal="right" wrapText="1"/>
    </xf>
    <xf numFmtId="164" fontId="5" fillId="0" borderId="13" xfId="0" applyNumberFormat="1" applyFont="1" applyFill="1" applyBorder="1" applyAlignment="1">
      <alignment horizontal="center" wrapText="1"/>
    </xf>
    <xf numFmtId="164" fontId="5" fillId="0" borderId="12" xfId="0" applyNumberFormat="1" applyFont="1" applyFill="1" applyBorder="1" applyAlignment="1">
      <alignment horizontal="center" vertical="top" wrapText="1"/>
    </xf>
    <xf numFmtId="168" fontId="5" fillId="0" borderId="16" xfId="0" applyNumberFormat="1" applyFont="1" applyFill="1" applyBorder="1" applyAlignment="1">
      <alignment horizontal="center" vertical="center" wrapText="1"/>
    </xf>
    <xf numFmtId="168" fontId="5" fillId="0" borderId="16" xfId="0" applyNumberFormat="1" applyFont="1" applyFill="1" applyBorder="1" applyAlignment="1">
      <alignment horizontal="right" vertical="center" wrapText="1"/>
    </xf>
    <xf numFmtId="164" fontId="5" fillId="0" borderId="20" xfId="0" applyNumberFormat="1" applyFont="1" applyFill="1" applyBorder="1" applyAlignment="1">
      <alignment horizontal="center" wrapText="1"/>
    </xf>
    <xf numFmtId="164" fontId="5" fillId="0" borderId="41" xfId="0" applyNumberFormat="1" applyFont="1" applyFill="1" applyBorder="1"/>
    <xf numFmtId="167" fontId="7" fillId="0" borderId="16" xfId="0" applyNumberFormat="1" applyFont="1" applyFill="1" applyBorder="1" applyAlignment="1">
      <alignment horizontal="right" vertical="center"/>
    </xf>
    <xf numFmtId="167" fontId="5" fillId="0" borderId="16" xfId="0" applyNumberFormat="1" applyFont="1" applyFill="1" applyBorder="1" applyAlignment="1">
      <alignment horizontal="right" wrapText="1"/>
    </xf>
    <xf numFmtId="167" fontId="5" fillId="0" borderId="16" xfId="0" applyNumberFormat="1" applyFont="1" applyFill="1" applyBorder="1" applyAlignment="1">
      <alignment vertical="center"/>
    </xf>
    <xf numFmtId="167" fontId="5" fillId="0" borderId="37" xfId="0" applyNumberFormat="1" applyFont="1" applyFill="1" applyBorder="1" applyAlignment="1">
      <alignment vertical="center"/>
    </xf>
    <xf numFmtId="0" fontId="5" fillId="0" borderId="12" xfId="0" applyFont="1" applyBorder="1"/>
    <xf numFmtId="0" fontId="5" fillId="0" borderId="12" xfId="0" applyFont="1" applyFill="1" applyBorder="1" applyAlignment="1">
      <alignment horizontal="center"/>
    </xf>
    <xf numFmtId="164" fontId="5" fillId="0" borderId="19" xfId="0" applyNumberFormat="1" applyFont="1" applyFill="1" applyBorder="1" applyAlignment="1">
      <alignment horizontal="center" vertical="top"/>
    </xf>
    <xf numFmtId="0" fontId="2" fillId="0" borderId="0" xfId="0" applyFont="1" applyFill="1" applyAlignment="1">
      <alignment horizontal="center" vertical="top"/>
    </xf>
    <xf numFmtId="0" fontId="7" fillId="0" borderId="18" xfId="0" applyFont="1" applyFill="1" applyBorder="1" applyAlignment="1">
      <alignment vertical="center"/>
    </xf>
    <xf numFmtId="164" fontId="5" fillId="0" borderId="0" xfId="46" applyNumberFormat="1" applyFont="1" applyFill="1" applyBorder="1" applyAlignment="1"/>
    <xf numFmtId="0" fontId="5" fillId="0" borderId="0" xfId="46" applyFont="1" applyFill="1" applyBorder="1"/>
    <xf numFmtId="0" fontId="7" fillId="0" borderId="0" xfId="46" applyFont="1" applyFill="1" applyBorder="1"/>
    <xf numFmtId="0" fontId="5" fillId="0" borderId="12" xfId="46" applyFont="1" applyFill="1" applyBorder="1" applyAlignment="1">
      <alignment vertical="center"/>
    </xf>
    <xf numFmtId="167" fontId="5" fillId="0" borderId="10" xfId="46" applyNumberFormat="1" applyFont="1" applyFill="1" applyBorder="1" applyAlignment="1">
      <alignment vertical="center"/>
    </xf>
    <xf numFmtId="0" fontId="7" fillId="0" borderId="12" xfId="46" applyFont="1" applyFill="1" applyBorder="1" applyAlignment="1">
      <alignment vertical="center"/>
    </xf>
    <xf numFmtId="167" fontId="7" fillId="0" borderId="10" xfId="46" applyNumberFormat="1" applyFont="1" applyFill="1" applyBorder="1"/>
    <xf numFmtId="0" fontId="7" fillId="0" borderId="24" xfId="46" applyFont="1" applyFill="1" applyBorder="1" applyAlignment="1">
      <alignment vertical="center"/>
    </xf>
    <xf numFmtId="167" fontId="7" fillId="0" borderId="26" xfId="46" applyNumberFormat="1" applyFont="1" applyFill="1" applyBorder="1"/>
    <xf numFmtId="0" fontId="7" fillId="0" borderId="0" xfId="0" applyFont="1" applyAlignment="1">
      <alignment wrapText="1"/>
    </xf>
    <xf numFmtId="0" fontId="7" fillId="0" borderId="31" xfId="0" applyFont="1" applyBorder="1" applyAlignment="1">
      <alignment wrapText="1"/>
    </xf>
    <xf numFmtId="2" fontId="5" fillId="0" borderId="0" xfId="0" applyNumberFormat="1" applyFont="1"/>
    <xf numFmtId="2" fontId="7" fillId="0" borderId="0" xfId="0" applyNumberFormat="1" applyFont="1"/>
    <xf numFmtId="169" fontId="5" fillId="0" borderId="43" xfId="30" applyNumberFormat="1" applyFont="1" applyBorder="1"/>
    <xf numFmtId="0" fontId="7" fillId="0" borderId="27" xfId="0" applyFont="1" applyBorder="1" applyAlignment="1">
      <alignment wrapText="1"/>
    </xf>
    <xf numFmtId="0" fontId="5" fillId="0" borderId="0" xfId="0" applyFont="1" applyFill="1" applyAlignment="1">
      <alignment vertical="top" wrapText="1"/>
    </xf>
    <xf numFmtId="164" fontId="5" fillId="0" borderId="44" xfId="0" applyNumberFormat="1" applyFont="1" applyFill="1" applyBorder="1" applyAlignment="1">
      <alignment horizontal="right" wrapText="1"/>
    </xf>
    <xf numFmtId="164" fontId="5" fillId="0" borderId="45" xfId="0" applyNumberFormat="1" applyFont="1" applyFill="1" applyBorder="1" applyAlignment="1">
      <alignment horizontal="right" vertical="center"/>
    </xf>
    <xf numFmtId="164" fontId="5" fillId="0" borderId="10" xfId="0" applyNumberFormat="1" applyFont="1" applyFill="1" applyBorder="1" applyAlignment="1">
      <alignment horizontal="right" vertical="top" wrapText="1"/>
    </xf>
    <xf numFmtId="164" fontId="5" fillId="0" borderId="17" xfId="0" applyNumberFormat="1" applyFont="1" applyFill="1" applyBorder="1" applyAlignment="1">
      <alignment horizontal="right" vertical="top" wrapText="1"/>
    </xf>
    <xf numFmtId="164" fontId="10" fillId="0" borderId="10" xfId="0" applyNumberFormat="1" applyFont="1" applyFill="1" applyBorder="1" applyAlignment="1">
      <alignment horizontal="right" vertical="top" wrapText="1"/>
    </xf>
    <xf numFmtId="164" fontId="10" fillId="0" borderId="17" xfId="0" applyNumberFormat="1" applyFont="1" applyFill="1" applyBorder="1" applyAlignment="1">
      <alignment horizontal="right" vertical="top" wrapText="1"/>
    </xf>
    <xf numFmtId="164" fontId="5" fillId="0" borderId="47" xfId="46" applyNumberFormat="1" applyFont="1" applyFill="1" applyBorder="1" applyAlignment="1">
      <alignment vertical="top"/>
    </xf>
    <xf numFmtId="0" fontId="5" fillId="0" borderId="49" xfId="46" applyFont="1" applyFill="1" applyBorder="1" applyAlignment="1">
      <alignment vertical="center"/>
    </xf>
    <xf numFmtId="0" fontId="7" fillId="0" borderId="49" xfId="46" applyFont="1" applyFill="1" applyBorder="1" applyAlignment="1">
      <alignment vertical="center"/>
    </xf>
    <xf numFmtId="0" fontId="7" fillId="0" borderId="48" xfId="46" applyFont="1" applyFill="1" applyBorder="1" applyAlignment="1">
      <alignment vertical="center"/>
    </xf>
    <xf numFmtId="0" fontId="5" fillId="0" borderId="50" xfId="46" applyFont="1" applyFill="1" applyBorder="1" applyAlignment="1">
      <alignment vertical="center"/>
    </xf>
    <xf numFmtId="167" fontId="5" fillId="0" borderId="17" xfId="46" applyNumberFormat="1" applyFont="1" applyFill="1" applyBorder="1" applyAlignment="1">
      <alignment vertical="center"/>
    </xf>
    <xf numFmtId="167" fontId="7" fillId="0" borderId="17" xfId="46" applyNumberFormat="1" applyFont="1" applyFill="1" applyBorder="1"/>
    <xf numFmtId="167" fontId="7" fillId="0" borderId="39" xfId="46" applyNumberFormat="1" applyFont="1" applyFill="1" applyBorder="1"/>
    <xf numFmtId="167" fontId="5" fillId="0" borderId="52" xfId="46" applyNumberFormat="1" applyFont="1" applyFill="1" applyBorder="1" applyAlignment="1">
      <alignment vertical="center"/>
    </xf>
    <xf numFmtId="167" fontId="5" fillId="0" borderId="22" xfId="46" applyNumberFormat="1" applyFont="1" applyFill="1" applyBorder="1" applyAlignment="1">
      <alignment vertical="center"/>
    </xf>
    <xf numFmtId="164" fontId="5" fillId="0" borderId="35" xfId="0" applyNumberFormat="1" applyFont="1" applyFill="1" applyBorder="1" applyAlignment="1">
      <alignment horizontal="right" vertical="center" wrapText="1"/>
    </xf>
    <xf numFmtId="164" fontId="7" fillId="0" borderId="10" xfId="0" applyNumberFormat="1" applyFont="1" applyFill="1" applyBorder="1" applyAlignment="1">
      <alignment horizontal="right" vertical="center" wrapText="1"/>
    </xf>
    <xf numFmtId="168" fontId="5" fillId="0" borderId="0" xfId="0" applyNumberFormat="1" applyFont="1"/>
    <xf numFmtId="168" fontId="5" fillId="0" borderId="17" xfId="0" applyNumberFormat="1" applyFont="1" applyFill="1" applyBorder="1" applyAlignment="1">
      <alignment horizontal="center" vertical="center"/>
    </xf>
    <xf numFmtId="164" fontId="5" fillId="0" borderId="17" xfId="0" applyNumberFormat="1" applyFont="1" applyFill="1" applyBorder="1" applyAlignment="1">
      <alignment horizontal="right" vertical="center" wrapText="1"/>
    </xf>
    <xf numFmtId="164" fontId="5" fillId="0" borderId="44" xfId="0" applyNumberFormat="1" applyFont="1" applyFill="1" applyBorder="1" applyAlignment="1">
      <alignment horizontal="right" vertical="center" wrapText="1"/>
    </xf>
    <xf numFmtId="164" fontId="7" fillId="0" borderId="17" xfId="0" applyNumberFormat="1" applyFont="1" applyFill="1" applyBorder="1" applyAlignment="1">
      <alignment horizontal="right" vertical="center" wrapText="1"/>
    </xf>
    <xf numFmtId="168" fontId="7" fillId="0" borderId="17" xfId="0" applyNumberFormat="1" applyFont="1" applyFill="1" applyBorder="1" applyAlignment="1">
      <alignment horizontal="right" vertical="center" wrapText="1"/>
    </xf>
    <xf numFmtId="0" fontId="5" fillId="0" borderId="54" xfId="0" applyFont="1" applyBorder="1"/>
    <xf numFmtId="164" fontId="7" fillId="0" borderId="10" xfId="0" applyNumberFormat="1" applyFont="1" applyFill="1" applyBorder="1" applyAlignment="1">
      <alignment vertical="top"/>
    </xf>
    <xf numFmtId="0" fontId="7" fillId="0" borderId="10" xfId="0" applyFont="1" applyFill="1" applyBorder="1" applyAlignment="1">
      <alignment vertical="center"/>
    </xf>
    <xf numFmtId="0" fontId="5" fillId="0" borderId="55" xfId="45" applyFont="1" applyBorder="1" applyAlignment="1">
      <alignment horizontal="center" vertical="top" wrapText="1"/>
    </xf>
    <xf numFmtId="0" fontId="5" fillId="0" borderId="56" xfId="45" applyFont="1" applyBorder="1" applyAlignment="1">
      <alignment horizontal="left" vertical="top" wrapText="1"/>
    </xf>
    <xf numFmtId="0" fontId="5" fillId="0" borderId="57" xfId="45" applyFont="1" applyBorder="1"/>
    <xf numFmtId="0" fontId="35" fillId="0" borderId="58" xfId="45" applyFont="1" applyBorder="1"/>
    <xf numFmtId="0" fontId="5" fillId="0" borderId="16" xfId="0" applyFont="1" applyFill="1" applyBorder="1" applyAlignment="1">
      <alignment horizontal="center" vertical="top" wrapText="1"/>
    </xf>
    <xf numFmtId="0" fontId="5" fillId="0" borderId="18" xfId="0" applyFont="1" applyFill="1" applyBorder="1" applyAlignment="1">
      <alignment vertical="center"/>
    </xf>
    <xf numFmtId="164" fontId="5" fillId="0" borderId="28" xfId="0" applyNumberFormat="1" applyFont="1" applyFill="1" applyBorder="1" applyAlignment="1">
      <alignment horizontal="right" vertical="center"/>
    </xf>
    <xf numFmtId="0" fontId="5" fillId="0" borderId="58" xfId="45" applyFont="1" applyBorder="1"/>
    <xf numFmtId="168" fontId="5" fillId="0" borderId="54" xfId="45" applyNumberFormat="1" applyFont="1" applyBorder="1"/>
    <xf numFmtId="168" fontId="5" fillId="0" borderId="59" xfId="45" applyNumberFormat="1" applyFont="1" applyBorder="1"/>
    <xf numFmtId="167" fontId="5" fillId="0" borderId="17" xfId="46" applyNumberFormat="1" applyFont="1" applyFill="1" applyBorder="1"/>
    <xf numFmtId="167" fontId="5" fillId="0" borderId="10" xfId="46" applyNumberFormat="1" applyFont="1" applyFill="1" applyBorder="1"/>
    <xf numFmtId="0" fontId="7" fillId="0" borderId="60" xfId="46" applyFont="1" applyFill="1" applyBorder="1" applyAlignment="1">
      <alignment vertical="center"/>
    </xf>
    <xf numFmtId="167" fontId="7" fillId="0" borderId="36" xfId="46" applyNumberFormat="1" applyFont="1" applyFill="1" applyBorder="1"/>
    <xf numFmtId="0" fontId="5" fillId="0" borderId="54" xfId="46" applyFont="1" applyFill="1" applyBorder="1" applyAlignment="1">
      <alignment vertical="center"/>
    </xf>
    <xf numFmtId="169" fontId="5" fillId="0" borderId="61" xfId="30" applyNumberFormat="1" applyFont="1" applyBorder="1"/>
    <xf numFmtId="0" fontId="7" fillId="0" borderId="62" xfId="0" applyFont="1" applyBorder="1"/>
    <xf numFmtId="0" fontId="5" fillId="0" borderId="54" xfId="0" applyFont="1" applyFill="1" applyBorder="1" applyAlignment="1">
      <alignment vertical="center"/>
    </xf>
    <xf numFmtId="164" fontId="7" fillId="0" borderId="44" xfId="0" applyNumberFormat="1" applyFont="1" applyFill="1" applyBorder="1" applyAlignment="1">
      <alignment horizontal="right" wrapText="1"/>
    </xf>
    <xf numFmtId="168" fontId="7" fillId="0" borderId="69" xfId="45" applyNumberFormat="1" applyFont="1" applyBorder="1"/>
    <xf numFmtId="168" fontId="7" fillId="0" borderId="70" xfId="45" applyNumberFormat="1" applyFont="1" applyBorder="1"/>
    <xf numFmtId="168" fontId="7" fillId="0" borderId="54" xfId="45" applyNumberFormat="1" applyFont="1" applyBorder="1"/>
    <xf numFmtId="168" fontId="7" fillId="0" borderId="59" xfId="45" applyNumberFormat="1" applyFont="1" applyBorder="1"/>
    <xf numFmtId="0" fontId="7" fillId="0" borderId="58" xfId="45" applyFont="1" applyBorder="1"/>
    <xf numFmtId="0" fontId="7" fillId="0" borderId="58" xfId="45" applyFont="1" applyBorder="1" applyAlignment="1">
      <alignment wrapText="1"/>
    </xf>
    <xf numFmtId="0" fontId="7" fillId="0" borderId="56" xfId="45" applyFont="1" applyBorder="1"/>
    <xf numFmtId="168" fontId="7" fillId="0" borderId="53" xfId="45" applyNumberFormat="1" applyFont="1" applyBorder="1"/>
    <xf numFmtId="0" fontId="5" fillId="0" borderId="71" xfId="45" applyFont="1" applyBorder="1"/>
    <xf numFmtId="168" fontId="7" fillId="29" borderId="54" xfId="45" applyNumberFormat="1" applyFont="1" applyFill="1" applyBorder="1"/>
    <xf numFmtId="0" fontId="35" fillId="0" borderId="0" xfId="0" applyFont="1" applyFill="1"/>
    <xf numFmtId="164" fontId="5" fillId="0" borderId="44" xfId="0" applyNumberFormat="1" applyFont="1" applyFill="1" applyBorder="1" applyAlignment="1">
      <alignment vertical="center"/>
    </xf>
    <xf numFmtId="164" fontId="5" fillId="30" borderId="10" xfId="0" applyNumberFormat="1" applyFont="1" applyFill="1" applyBorder="1" applyAlignment="1">
      <alignment horizontal="right" wrapText="1"/>
    </xf>
    <xf numFmtId="168" fontId="5" fillId="31" borderId="10" xfId="0" applyNumberFormat="1" applyFont="1" applyFill="1" applyBorder="1" applyAlignment="1">
      <alignment horizontal="center" vertical="center"/>
    </xf>
    <xf numFmtId="168" fontId="5" fillId="31" borderId="10" xfId="0" applyNumberFormat="1" applyFont="1" applyFill="1" applyBorder="1" applyAlignment="1">
      <alignment horizontal="right" vertical="center" wrapText="1"/>
    </xf>
    <xf numFmtId="168" fontId="5" fillId="31" borderId="10" xfId="0" applyNumberFormat="1" applyFont="1" applyFill="1" applyBorder="1" applyAlignment="1" applyProtection="1">
      <alignment horizontal="right" vertical="center" wrapText="1"/>
      <protection hidden="1"/>
    </xf>
    <xf numFmtId="168" fontId="7" fillId="31" borderId="10" xfId="0" applyNumberFormat="1" applyFont="1" applyFill="1" applyBorder="1" applyAlignment="1">
      <alignment horizontal="right" vertical="center" wrapText="1"/>
    </xf>
    <xf numFmtId="164" fontId="5" fillId="31" borderId="22" xfId="0" applyNumberFormat="1" applyFont="1" applyFill="1" applyBorder="1" applyAlignment="1">
      <alignment horizontal="right" vertical="center" wrapText="1"/>
    </xf>
    <xf numFmtId="168" fontId="5" fillId="31" borderId="16" xfId="0" applyNumberFormat="1" applyFont="1" applyFill="1" applyBorder="1" applyAlignment="1">
      <alignment horizontal="center" vertical="center" wrapText="1"/>
    </xf>
    <xf numFmtId="168" fontId="5" fillId="31" borderId="16" xfId="0" applyNumberFormat="1" applyFont="1" applyFill="1" applyBorder="1" applyAlignment="1">
      <alignment horizontal="right" vertical="center" wrapText="1"/>
    </xf>
    <xf numFmtId="168" fontId="7" fillId="31" borderId="16" xfId="0" applyNumberFormat="1" applyFont="1" applyFill="1" applyBorder="1" applyAlignment="1">
      <alignment horizontal="right" vertical="center" wrapText="1"/>
    </xf>
    <xf numFmtId="164" fontId="5" fillId="31" borderId="41" xfId="0" applyNumberFormat="1" applyFont="1" applyFill="1" applyBorder="1" applyAlignment="1">
      <alignment horizontal="right" vertical="center" wrapText="1"/>
    </xf>
    <xf numFmtId="164" fontId="5" fillId="32" borderId="10" xfId="0" applyNumberFormat="1" applyFont="1" applyFill="1" applyBorder="1" applyAlignment="1">
      <alignment horizontal="right" vertical="center" wrapText="1"/>
    </xf>
    <xf numFmtId="164" fontId="5" fillId="32" borderId="17" xfId="0" applyNumberFormat="1" applyFont="1" applyFill="1" applyBorder="1" applyAlignment="1">
      <alignment horizontal="right" vertical="center" wrapText="1"/>
    </xf>
    <xf numFmtId="167" fontId="5" fillId="0" borderId="72" xfId="47" applyNumberFormat="1" applyFont="1" applyFill="1" applyBorder="1" applyAlignment="1">
      <alignment vertical="center"/>
    </xf>
    <xf numFmtId="164" fontId="7" fillId="0" borderId="73" xfId="0" applyNumberFormat="1" applyFont="1" applyFill="1" applyBorder="1" applyAlignment="1">
      <alignment horizontal="right" wrapText="1"/>
    </xf>
    <xf numFmtId="164" fontId="5" fillId="0" borderId="73" xfId="0" applyNumberFormat="1" applyFont="1" applyFill="1" applyBorder="1" applyAlignment="1">
      <alignment vertical="top"/>
    </xf>
    <xf numFmtId="164" fontId="5" fillId="0" borderId="10" xfId="0" applyNumberFormat="1" applyFont="1" applyFill="1" applyBorder="1" applyAlignment="1">
      <alignment horizontal="center" wrapText="1"/>
    </xf>
    <xf numFmtId="164" fontId="5" fillId="0" borderId="26" xfId="0" applyNumberFormat="1" applyFont="1" applyFill="1" applyBorder="1" applyAlignment="1">
      <alignment horizontal="right" vertical="center" wrapText="1"/>
    </xf>
    <xf numFmtId="167" fontId="12" fillId="0" borderId="39" xfId="0" applyNumberFormat="1" applyFont="1" applyFill="1" applyBorder="1" applyAlignment="1">
      <alignment horizontal="center" vertical="top" wrapText="1"/>
    </xf>
    <xf numFmtId="167" fontId="5" fillId="0" borderId="16" xfId="46" applyNumberFormat="1" applyFont="1" applyFill="1" applyBorder="1" applyAlignment="1">
      <alignment vertical="center"/>
    </xf>
    <xf numFmtId="167" fontId="7" fillId="0" borderId="28" xfId="46" applyNumberFormat="1" applyFont="1" applyFill="1" applyBorder="1"/>
    <xf numFmtId="167" fontId="5" fillId="0" borderId="41" xfId="46" applyNumberFormat="1" applyFont="1" applyFill="1" applyBorder="1" applyAlignment="1">
      <alignment vertical="center"/>
    </xf>
    <xf numFmtId="168" fontId="5" fillId="0" borderId="54" xfId="0" applyNumberFormat="1" applyFont="1" applyFill="1" applyBorder="1" applyAlignment="1">
      <alignment horizontal="right" vertical="center" wrapText="1"/>
    </xf>
    <xf numFmtId="168" fontId="7" fillId="0" borderId="54" xfId="0" applyNumberFormat="1" applyFont="1" applyFill="1" applyBorder="1" applyAlignment="1">
      <alignment horizontal="right" vertical="center" wrapText="1"/>
    </xf>
    <xf numFmtId="164" fontId="5" fillId="0" borderId="44" xfId="0" applyNumberFormat="1" applyFont="1" applyFill="1" applyBorder="1" applyAlignment="1">
      <alignment horizontal="right" vertical="top" wrapText="1"/>
    </xf>
    <xf numFmtId="167" fontId="5" fillId="0" borderId="72" xfId="30" applyNumberFormat="1" applyFont="1" applyBorder="1"/>
    <xf numFmtId="167" fontId="7" fillId="0" borderId="72" xfId="30" applyNumberFormat="1" applyFont="1" applyBorder="1"/>
    <xf numFmtId="167" fontId="5" fillId="0" borderId="12" xfId="30" applyNumberFormat="1" applyFont="1" applyBorder="1"/>
    <xf numFmtId="167" fontId="7" fillId="0" borderId="12" xfId="30" applyNumberFormat="1" applyFont="1" applyBorder="1"/>
    <xf numFmtId="0" fontId="7" fillId="0" borderId="33" xfId="0" applyFont="1" applyBorder="1"/>
    <xf numFmtId="168" fontId="42" fillId="0" borderId="16" xfId="0" applyNumberFormat="1" applyFont="1" applyFill="1" applyBorder="1" applyAlignment="1">
      <alignment horizontal="right" vertical="center" wrapText="1"/>
    </xf>
    <xf numFmtId="164" fontId="5" fillId="33" borderId="10" xfId="0" applyNumberFormat="1" applyFont="1" applyFill="1" applyBorder="1" applyAlignment="1">
      <alignment horizontal="right" vertical="center" wrapText="1"/>
    </xf>
    <xf numFmtId="164" fontId="5" fillId="33" borderId="22" xfId="0" applyNumberFormat="1" applyFont="1" applyFill="1" applyBorder="1" applyAlignment="1">
      <alignment horizontal="right" vertical="center" wrapText="1"/>
    </xf>
    <xf numFmtId="167" fontId="5" fillId="0" borderId="61" xfId="0" applyNumberFormat="1" applyFont="1" applyBorder="1"/>
    <xf numFmtId="1" fontId="5" fillId="0" borderId="20" xfId="0" applyNumberFormat="1" applyFont="1" applyFill="1" applyBorder="1" applyAlignment="1">
      <alignment horizontal="center" vertical="center"/>
    </xf>
    <xf numFmtId="169" fontId="5" fillId="0" borderId="0" xfId="30" applyNumberFormat="1" applyFont="1" applyFill="1"/>
    <xf numFmtId="169" fontId="7" fillId="0" borderId="0" xfId="30" applyNumberFormat="1" applyFont="1" applyFill="1"/>
    <xf numFmtId="169" fontId="7" fillId="0" borderId="0" xfId="30" applyNumberFormat="1" applyFont="1"/>
    <xf numFmtId="0" fontId="5" fillId="0" borderId="12" xfId="0" applyFont="1" applyFill="1" applyBorder="1" applyAlignment="1">
      <alignment horizontal="center" vertical="top" wrapText="1"/>
    </xf>
    <xf numFmtId="167" fontId="5" fillId="0" borderId="15" xfId="30" applyNumberFormat="1" applyFont="1" applyBorder="1"/>
    <xf numFmtId="164" fontId="5" fillId="0" borderId="24" xfId="0" applyNumberFormat="1" applyFont="1" applyFill="1" applyBorder="1" applyAlignment="1">
      <alignment horizontal="center" vertical="top" wrapText="1"/>
    </xf>
    <xf numFmtId="0" fontId="5" fillId="26" borderId="77" xfId="0" applyFont="1" applyFill="1" applyBorder="1" applyAlignment="1">
      <alignment horizontal="center" vertical="top" wrapText="1"/>
    </xf>
    <xf numFmtId="1" fontId="5" fillId="0" borderId="78" xfId="46" applyNumberFormat="1" applyFont="1" applyFill="1" applyBorder="1" applyAlignment="1">
      <alignment horizontal="center"/>
    </xf>
    <xf numFmtId="1" fontId="5" fillId="0" borderId="79" xfId="46" applyNumberFormat="1" applyFont="1" applyFill="1" applyBorder="1" applyAlignment="1">
      <alignment horizontal="center"/>
    </xf>
    <xf numFmtId="0" fontId="7" fillId="0" borderId="62" xfId="0" applyFont="1" applyBorder="1" applyAlignment="1">
      <alignment wrapText="1"/>
    </xf>
    <xf numFmtId="0" fontId="7" fillId="0" borderId="69" xfId="0" applyFont="1" applyBorder="1"/>
    <xf numFmtId="0" fontId="5" fillId="0" borderId="14" xfId="0" applyFont="1" applyBorder="1" applyAlignment="1">
      <alignment horizontal="center"/>
    </xf>
    <xf numFmtId="0" fontId="5" fillId="0" borderId="69" xfId="0" applyFont="1" applyBorder="1" applyAlignment="1">
      <alignment horizontal="center"/>
    </xf>
    <xf numFmtId="0" fontId="7" fillId="0" borderId="0" xfId="0" applyFont="1" applyFill="1" applyAlignment="1">
      <alignment horizontal="center" wrapText="1"/>
    </xf>
    <xf numFmtId="164" fontId="5" fillId="0" borderId="26" xfId="0" applyNumberFormat="1" applyFont="1" applyFill="1" applyBorder="1" applyAlignment="1">
      <alignment horizontal="center" wrapText="1"/>
    </xf>
    <xf numFmtId="164" fontId="5" fillId="0" borderId="42" xfId="0" applyNumberFormat="1" applyFont="1" applyFill="1" applyBorder="1" applyAlignment="1">
      <alignment horizontal="center" wrapText="1"/>
    </xf>
    <xf numFmtId="164" fontId="5" fillId="0" borderId="80" xfId="0" applyNumberFormat="1" applyFont="1" applyFill="1" applyBorder="1" applyAlignment="1">
      <alignment horizontal="center" wrapText="1"/>
    </xf>
    <xf numFmtId="0" fontId="5" fillId="33" borderId="25" xfId="0" applyFont="1" applyFill="1" applyBorder="1" applyAlignment="1">
      <alignment horizontal="center" vertical="top" textRotation="180" wrapText="1"/>
    </xf>
    <xf numFmtId="167" fontId="5" fillId="33" borderId="25" xfId="0" applyNumberFormat="1" applyFont="1" applyFill="1" applyBorder="1" applyAlignment="1">
      <alignment horizontal="center" vertical="top" textRotation="180" wrapText="1"/>
    </xf>
    <xf numFmtId="0" fontId="5" fillId="0" borderId="72" xfId="0" applyFont="1" applyFill="1" applyBorder="1" applyAlignment="1">
      <alignment horizontal="center" vertical="top" wrapText="1"/>
    </xf>
    <xf numFmtId="168" fontId="5" fillId="0" borderId="10" xfId="0" applyNumberFormat="1" applyFont="1" applyFill="1" applyBorder="1" applyAlignment="1" applyProtection="1">
      <alignment horizontal="right" vertical="center" wrapText="1"/>
      <protection hidden="1"/>
    </xf>
    <xf numFmtId="0" fontId="5" fillId="0" borderId="54" xfId="0" applyFont="1" applyFill="1" applyBorder="1" applyAlignment="1">
      <alignment horizontal="center" vertical="top" wrapText="1"/>
    </xf>
    <xf numFmtId="164" fontId="7" fillId="0" borderId="54" xfId="30" applyNumberFormat="1" applyFont="1" applyBorder="1"/>
    <xf numFmtId="164" fontId="7" fillId="0" borderId="61" xfId="30" applyNumberFormat="1" applyFont="1" applyBorder="1"/>
    <xf numFmtId="164" fontId="5" fillId="0" borderId="43" xfId="30" applyNumberFormat="1" applyFont="1" applyBorder="1"/>
    <xf numFmtId="168" fontId="7" fillId="0" borderId="37" xfId="0" applyNumberFormat="1" applyFont="1" applyFill="1" applyBorder="1" applyAlignment="1">
      <alignment horizontal="right" vertical="center" wrapText="1"/>
    </xf>
    <xf numFmtId="165" fontId="5" fillId="0" borderId="0" xfId="56" applyNumberFormat="1" applyFont="1" applyFill="1"/>
    <xf numFmtId="167" fontId="5" fillId="0" borderId="0" xfId="56" applyNumberFormat="1" applyFont="1" applyFill="1"/>
    <xf numFmtId="164" fontId="40" fillId="0" borderId="24" xfId="0" applyNumberFormat="1" applyFont="1" applyFill="1" applyBorder="1" applyAlignment="1">
      <alignment vertical="top"/>
    </xf>
    <xf numFmtId="0" fontId="40" fillId="0" borderId="12" xfId="0" applyFont="1" applyFill="1" applyBorder="1" applyAlignment="1">
      <alignment vertical="center"/>
    </xf>
    <xf numFmtId="0" fontId="5" fillId="0" borderId="83" xfId="0" applyFont="1" applyFill="1" applyBorder="1"/>
    <xf numFmtId="0" fontId="5" fillId="0" borderId="84" xfId="0" applyFont="1" applyFill="1" applyBorder="1"/>
    <xf numFmtId="168" fontId="7" fillId="0" borderId="44" xfId="0" applyNumberFormat="1" applyFont="1" applyFill="1" applyBorder="1" applyAlignment="1">
      <alignment horizontal="right" vertical="center" wrapText="1"/>
    </xf>
    <xf numFmtId="167" fontId="5" fillId="0" borderId="41" xfId="0" applyNumberFormat="1" applyFont="1" applyFill="1" applyBorder="1" applyAlignment="1">
      <alignment horizontal="right" vertical="center" wrapText="1"/>
    </xf>
    <xf numFmtId="168" fontId="5" fillId="0" borderId="73" xfId="0" applyNumberFormat="1" applyFont="1" applyFill="1" applyBorder="1" applyAlignment="1">
      <alignment horizontal="center" vertical="center"/>
    </xf>
    <xf numFmtId="168" fontId="5" fillId="0" borderId="73" xfId="0" applyNumberFormat="1" applyFont="1" applyFill="1" applyBorder="1" applyAlignment="1">
      <alignment horizontal="right" vertical="center" wrapText="1"/>
    </xf>
    <xf numFmtId="168" fontId="7" fillId="0" borderId="73" xfId="0" applyNumberFormat="1" applyFont="1" applyFill="1" applyBorder="1" applyAlignment="1">
      <alignment horizontal="right" vertical="center" wrapText="1"/>
    </xf>
    <xf numFmtId="168" fontId="7" fillId="0" borderId="85" xfId="0" applyNumberFormat="1" applyFont="1" applyFill="1" applyBorder="1" applyAlignment="1">
      <alignment vertical="center"/>
    </xf>
    <xf numFmtId="164" fontId="5" fillId="0" borderId="84" xfId="0" applyNumberFormat="1" applyFont="1" applyFill="1" applyBorder="1" applyAlignment="1">
      <alignment horizontal="right" vertical="center" wrapText="1"/>
    </xf>
    <xf numFmtId="168" fontId="7" fillId="0" borderId="36" xfId="0" applyNumberFormat="1" applyFont="1" applyFill="1" applyBorder="1" applyAlignment="1">
      <alignment vertical="center"/>
    </xf>
    <xf numFmtId="164" fontId="5" fillId="0" borderId="72" xfId="33" applyNumberFormat="1" applyFont="1" applyBorder="1"/>
    <xf numFmtId="164" fontId="7" fillId="0" borderId="72" xfId="33" applyNumberFormat="1" applyFont="1" applyBorder="1"/>
    <xf numFmtId="164" fontId="7" fillId="0" borderId="42" xfId="0" applyNumberFormat="1" applyFont="1" applyBorder="1"/>
    <xf numFmtId="168" fontId="5" fillId="0" borderId="53" xfId="45" applyNumberFormat="1" applyFont="1" applyBorder="1"/>
    <xf numFmtId="167" fontId="7" fillId="0" borderId="54" xfId="45" applyNumberFormat="1" applyFont="1" applyBorder="1"/>
    <xf numFmtId="168" fontId="5" fillId="30" borderId="54" xfId="45" applyNumberFormat="1" applyFont="1" applyFill="1" applyBorder="1"/>
    <xf numFmtId="168" fontId="5" fillId="30" borderId="59" xfId="45" applyNumberFormat="1" applyFont="1" applyFill="1" applyBorder="1"/>
    <xf numFmtId="168" fontId="5" fillId="30" borderId="86" xfId="45" applyNumberFormat="1" applyFont="1" applyFill="1" applyBorder="1"/>
    <xf numFmtId="164" fontId="7" fillId="0" borderId="0" xfId="0" applyNumberFormat="1" applyFont="1" applyFill="1"/>
    <xf numFmtId="0" fontId="7" fillId="0" borderId="0" xfId="46" applyFont="1" applyFill="1"/>
    <xf numFmtId="0" fontId="7" fillId="0" borderId="0" xfId="0" applyFont="1" applyFill="1" applyAlignment="1">
      <alignment wrapText="1"/>
    </xf>
    <xf numFmtId="166" fontId="5" fillId="34" borderId="13" xfId="0" applyNumberFormat="1" applyFont="1" applyFill="1" applyBorder="1" applyAlignment="1">
      <alignment horizontal="center"/>
    </xf>
    <xf numFmtId="168" fontId="5" fillId="31" borderId="22" xfId="0" applyNumberFormat="1" applyFont="1" applyFill="1" applyBorder="1" applyAlignment="1">
      <alignment horizontal="right" vertical="center" wrapText="1"/>
    </xf>
    <xf numFmtId="164" fontId="5" fillId="0" borderId="72" xfId="0" applyNumberFormat="1" applyFont="1" applyFill="1" applyBorder="1" applyAlignment="1">
      <alignment horizontal="center" wrapText="1"/>
    </xf>
    <xf numFmtId="164" fontId="5" fillId="0" borderId="87" xfId="0" applyNumberFormat="1" applyFont="1" applyFill="1" applyBorder="1" applyAlignment="1">
      <alignment horizontal="right" vertical="center" wrapText="1"/>
    </xf>
    <xf numFmtId="164" fontId="5" fillId="0" borderId="88" xfId="0" applyNumberFormat="1" applyFont="1" applyFill="1" applyBorder="1" applyAlignment="1">
      <alignment horizontal="center" wrapText="1"/>
    </xf>
    <xf numFmtId="167" fontId="10" fillId="0" borderId="44" xfId="0" applyNumberFormat="1" applyFont="1" applyFill="1" applyBorder="1" applyAlignment="1">
      <alignment horizontal="right" vertical="top" wrapText="1"/>
    </xf>
    <xf numFmtId="164" fontId="5" fillId="31" borderId="54" xfId="0" applyNumberFormat="1" applyFont="1" applyFill="1" applyBorder="1"/>
    <xf numFmtId="164" fontId="5" fillId="31" borderId="61" xfId="0" applyNumberFormat="1" applyFont="1" applyFill="1" applyBorder="1"/>
    <xf numFmtId="164" fontId="5" fillId="34" borderId="22" xfId="0" applyNumberFormat="1" applyFont="1" applyFill="1" applyBorder="1" applyAlignment="1">
      <alignment horizontal="right" vertical="center" wrapText="1"/>
    </xf>
    <xf numFmtId="168" fontId="5" fillId="34" borderId="41" xfId="0" applyNumberFormat="1" applyFont="1" applyFill="1" applyBorder="1" applyAlignment="1">
      <alignment horizontal="right" vertical="center" wrapText="1"/>
    </xf>
    <xf numFmtId="168" fontId="5" fillId="34" borderId="16" xfId="0" applyNumberFormat="1" applyFont="1" applyFill="1" applyBorder="1" applyAlignment="1">
      <alignment horizontal="right" vertical="center" wrapText="1"/>
    </xf>
    <xf numFmtId="173" fontId="5" fillId="0" borderId="0" xfId="0" applyNumberFormat="1" applyFont="1" applyFill="1" applyAlignment="1">
      <alignment horizontal="center" wrapText="1"/>
    </xf>
    <xf numFmtId="0" fontId="35" fillId="33" borderId="0" xfId="0" applyFont="1" applyFill="1"/>
    <xf numFmtId="0" fontId="41" fillId="33" borderId="0" xfId="0" applyFont="1" applyFill="1"/>
    <xf numFmtId="168" fontId="5" fillId="0" borderId="22" xfId="0" applyNumberFormat="1" applyFont="1" applyFill="1" applyBorder="1"/>
    <xf numFmtId="0" fontId="5" fillId="0" borderId="21" xfId="0" applyFont="1" applyBorder="1" applyAlignment="1">
      <alignment horizontal="center"/>
    </xf>
    <xf numFmtId="0" fontId="7" fillId="0" borderId="90" xfId="0" applyFont="1" applyBorder="1"/>
    <xf numFmtId="172" fontId="5" fillId="0" borderId="16" xfId="0" applyNumberFormat="1" applyFont="1" applyFill="1" applyBorder="1" applyAlignment="1">
      <alignment horizontal="right" vertical="center" wrapText="1"/>
    </xf>
    <xf numFmtId="172" fontId="42" fillId="0" borderId="16" xfId="0" applyNumberFormat="1" applyFont="1" applyFill="1" applyBorder="1" applyAlignment="1">
      <alignment horizontal="right" vertical="center" wrapText="1"/>
    </xf>
    <xf numFmtId="167" fontId="5" fillId="0" borderId="16" xfId="30" applyNumberFormat="1" applyFont="1" applyBorder="1"/>
    <xf numFmtId="167" fontId="7" fillId="0" borderId="16" xfId="30" applyNumberFormat="1" applyFont="1" applyBorder="1"/>
    <xf numFmtId="167" fontId="7" fillId="0" borderId="38" xfId="30" applyNumberFormat="1" applyFont="1" applyBorder="1"/>
    <xf numFmtId="0" fontId="7" fillId="0" borderId="77" xfId="0" applyFont="1" applyBorder="1"/>
    <xf numFmtId="167" fontId="5" fillId="0" borderId="41" xfId="30" applyNumberFormat="1" applyFont="1" applyBorder="1"/>
    <xf numFmtId="0" fontId="5" fillId="0" borderId="0" xfId="46" applyFont="1"/>
    <xf numFmtId="168" fontId="41" fillId="29" borderId="69" xfId="45" applyNumberFormat="1" applyFont="1" applyFill="1" applyBorder="1"/>
    <xf numFmtId="168" fontId="41" fillId="29" borderId="54" xfId="45" applyNumberFormat="1" applyFont="1" applyFill="1" applyBorder="1"/>
    <xf numFmtId="168" fontId="7" fillId="30" borderId="59" xfId="45" applyNumberFormat="1" applyFont="1" applyFill="1" applyBorder="1"/>
    <xf numFmtId="168" fontId="7" fillId="30" borderId="54" xfId="45" applyNumberFormat="1" applyFont="1" applyFill="1" applyBorder="1"/>
    <xf numFmtId="168" fontId="7" fillId="35" borderId="54" xfId="45" applyNumberFormat="1" applyFont="1" applyFill="1" applyBorder="1"/>
    <xf numFmtId="168" fontId="35" fillId="29" borderId="54" xfId="45" applyNumberFormat="1" applyFont="1" applyFill="1" applyBorder="1"/>
    <xf numFmtId="0" fontId="5" fillId="0" borderId="58" xfId="45" applyFont="1" applyBorder="1" applyAlignment="1">
      <alignment wrapText="1"/>
    </xf>
    <xf numFmtId="167" fontId="7" fillId="29" borderId="54" xfId="45" applyNumberFormat="1" applyFont="1" applyFill="1" applyBorder="1"/>
    <xf numFmtId="167" fontId="41" fillId="29" borderId="54" xfId="45" applyNumberFormat="1" applyFont="1" applyFill="1" applyBorder="1"/>
    <xf numFmtId="168" fontId="35" fillId="29" borderId="53" xfId="45" applyNumberFormat="1" applyFont="1" applyFill="1" applyBorder="1"/>
    <xf numFmtId="167" fontId="43" fillId="29" borderId="92" xfId="0" applyNumberFormat="1" applyFont="1" applyFill="1" applyBorder="1"/>
    <xf numFmtId="167" fontId="43" fillId="29" borderId="66" xfId="0" applyNumberFormat="1" applyFont="1" applyFill="1" applyBorder="1"/>
    <xf numFmtId="168" fontId="41" fillId="29" borderId="53" xfId="45" applyNumberFormat="1" applyFont="1" applyFill="1" applyBorder="1"/>
    <xf numFmtId="168" fontId="35" fillId="29" borderId="86" xfId="45" applyNumberFormat="1" applyFont="1" applyFill="1" applyBorder="1"/>
    <xf numFmtId="167" fontId="5" fillId="0" borderId="12" xfId="30" applyNumberFormat="1" applyFont="1" applyFill="1" applyBorder="1"/>
    <xf numFmtId="167" fontId="5" fillId="0" borderId="72" xfId="30" applyNumberFormat="1" applyFont="1" applyFill="1" applyBorder="1"/>
    <xf numFmtId="164" fontId="5" fillId="0" borderId="72" xfId="33" applyNumberFormat="1" applyFont="1" applyFill="1" applyBorder="1"/>
    <xf numFmtId="167" fontId="7" fillId="0" borderId="12" xfId="30" applyNumberFormat="1" applyFont="1" applyFill="1" applyBorder="1"/>
    <xf numFmtId="167" fontId="7" fillId="0" borderId="72" xfId="30" applyNumberFormat="1" applyFont="1" applyFill="1" applyBorder="1"/>
    <xf numFmtId="164" fontId="7" fillId="0" borderId="72" xfId="33" applyNumberFormat="1" applyFont="1" applyFill="1" applyBorder="1"/>
    <xf numFmtId="167" fontId="7" fillId="0" borderId="24" xfId="30" applyNumberFormat="1" applyFont="1" applyFill="1" applyBorder="1"/>
    <xf numFmtId="167" fontId="7" fillId="0" borderId="87" xfId="30" applyNumberFormat="1" applyFont="1" applyFill="1" applyBorder="1"/>
    <xf numFmtId="164" fontId="7" fillId="0" borderId="87" xfId="33" applyNumberFormat="1" applyFont="1" applyFill="1" applyBorder="1"/>
    <xf numFmtId="164" fontId="5" fillId="0" borderId="54" xfId="30" applyNumberFormat="1" applyFont="1" applyFill="1" applyBorder="1"/>
    <xf numFmtId="171" fontId="5" fillId="0" borderId="54" xfId="30" applyNumberFormat="1" applyFont="1" applyFill="1" applyBorder="1"/>
    <xf numFmtId="164" fontId="7" fillId="0" borderId="54" xfId="30" applyNumberFormat="1" applyFont="1" applyFill="1" applyBorder="1"/>
    <xf numFmtId="167" fontId="5" fillId="0" borderId="37" xfId="0" applyNumberFormat="1" applyFont="1" applyFill="1" applyBorder="1" applyAlignment="1">
      <alignment horizontal="right" wrapText="1"/>
    </xf>
    <xf numFmtId="164" fontId="5" fillId="0" borderId="37" xfId="0" applyNumberFormat="1" applyFont="1" applyFill="1" applyBorder="1" applyAlignment="1">
      <alignment horizontal="right" vertical="top" wrapText="1"/>
    </xf>
    <xf numFmtId="164" fontId="5" fillId="0" borderId="17" xfId="0" applyNumberFormat="1" applyFont="1" applyFill="1" applyBorder="1" applyAlignment="1">
      <alignment vertical="top"/>
    </xf>
    <xf numFmtId="167" fontId="5" fillId="0" borderId="93" xfId="47" applyNumberFormat="1" applyFont="1" applyFill="1" applyBorder="1" applyAlignment="1">
      <alignment vertical="center"/>
    </xf>
    <xf numFmtId="164" fontId="5" fillId="0" borderId="39" xfId="0" applyNumberFormat="1" applyFont="1" applyFill="1" applyBorder="1" applyAlignment="1">
      <alignment horizontal="right" vertical="center" wrapText="1"/>
    </xf>
    <xf numFmtId="164" fontId="5" fillId="0" borderId="94" xfId="0" applyNumberFormat="1" applyFont="1" applyFill="1" applyBorder="1" applyAlignment="1">
      <alignment horizontal="right" vertical="center" wrapText="1"/>
    </xf>
    <xf numFmtId="164" fontId="5" fillId="0" borderId="9" xfId="0" applyNumberFormat="1" applyFont="1" applyFill="1" applyBorder="1" applyAlignment="1">
      <alignment horizontal="right" vertical="center" wrapText="1"/>
    </xf>
    <xf numFmtId="0" fontId="5" fillId="0" borderId="95" xfId="46" applyFont="1" applyFill="1" applyBorder="1" applyAlignment="1">
      <alignment vertical="center"/>
    </xf>
    <xf numFmtId="167" fontId="5" fillId="0" borderId="44" xfId="46" applyNumberFormat="1" applyFont="1" applyFill="1" applyBorder="1"/>
    <xf numFmtId="167" fontId="5" fillId="0" borderId="35" xfId="46" applyNumberFormat="1" applyFont="1" applyFill="1" applyBorder="1" applyAlignment="1">
      <alignment vertical="center"/>
    </xf>
    <xf numFmtId="167" fontId="5" fillId="0" borderId="37" xfId="46" applyNumberFormat="1" applyFont="1" applyFill="1" applyBorder="1" applyAlignment="1">
      <alignment vertical="center"/>
    </xf>
    <xf numFmtId="0" fontId="5" fillId="0" borderId="92" xfId="46" applyFont="1" applyFill="1" applyBorder="1" applyAlignment="1">
      <alignment vertical="center"/>
    </xf>
    <xf numFmtId="164" fontId="5" fillId="0" borderId="92" xfId="30" applyNumberFormat="1" applyFont="1" applyBorder="1"/>
    <xf numFmtId="0" fontId="5" fillId="0" borderId="66" xfId="0" applyFont="1" applyFill="1" applyBorder="1" applyAlignment="1">
      <alignment vertical="center"/>
    </xf>
    <xf numFmtId="164" fontId="5" fillId="0" borderId="9" xfId="33" applyNumberFormat="1" applyFont="1" applyBorder="1"/>
    <xf numFmtId="167" fontId="5" fillId="0" borderId="46" xfId="30" applyNumberFormat="1" applyFont="1" applyBorder="1"/>
    <xf numFmtId="168" fontId="5" fillId="0" borderId="96" xfId="0" applyNumberFormat="1" applyFont="1" applyFill="1" applyBorder="1" applyAlignment="1">
      <alignment horizontal="right" vertical="center" wrapText="1"/>
    </xf>
    <xf numFmtId="164" fontId="5" fillId="0" borderId="72" xfId="0" applyNumberFormat="1" applyFont="1" applyFill="1" applyBorder="1" applyAlignment="1">
      <alignment horizontal="right" vertical="center" wrapText="1"/>
    </xf>
    <xf numFmtId="166" fontId="5" fillId="34" borderId="13" xfId="0" applyNumberFormat="1" applyFont="1" applyFill="1" applyBorder="1" applyAlignment="1">
      <alignment horizontal="center" vertical="center"/>
    </xf>
    <xf numFmtId="166" fontId="5" fillId="34" borderId="40" xfId="0" applyNumberFormat="1" applyFont="1" applyFill="1" applyBorder="1" applyAlignment="1">
      <alignment horizontal="center" vertical="center"/>
    </xf>
    <xf numFmtId="171" fontId="5" fillId="0" borderId="12" xfId="30" applyNumberFormat="1" applyFont="1" applyFill="1" applyBorder="1"/>
    <xf numFmtId="171" fontId="5" fillId="0" borderId="16" xfId="30" applyNumberFormat="1" applyFont="1" applyFill="1" applyBorder="1"/>
    <xf numFmtId="164" fontId="7" fillId="0" borderId="12" xfId="30" applyNumberFormat="1" applyFont="1" applyFill="1" applyBorder="1"/>
    <xf numFmtId="164" fontId="7" fillId="0" borderId="16" xfId="30" applyNumberFormat="1" applyFont="1" applyFill="1" applyBorder="1"/>
    <xf numFmtId="164" fontId="5" fillId="0" borderId="12" xfId="30" applyNumberFormat="1" applyFont="1" applyFill="1" applyBorder="1"/>
    <xf numFmtId="164" fontId="5" fillId="0" borderId="16" xfId="30" applyNumberFormat="1" applyFont="1" applyFill="1" applyBorder="1"/>
    <xf numFmtId="164" fontId="7" fillId="0" borderId="12" xfId="30" applyNumberFormat="1" applyFont="1" applyBorder="1"/>
    <xf numFmtId="164" fontId="7" fillId="0" borderId="16" xfId="30" applyNumberFormat="1" applyFont="1" applyBorder="1"/>
    <xf numFmtId="164" fontId="5" fillId="0" borderId="12" xfId="30" applyNumberFormat="1" applyFont="1" applyBorder="1"/>
    <xf numFmtId="164" fontId="5" fillId="0" borderId="16" xfId="30" applyNumberFormat="1" applyFont="1" applyBorder="1"/>
    <xf numFmtId="164" fontId="5" fillId="0" borderId="19" xfId="30" applyNumberFormat="1" applyFont="1" applyBorder="1"/>
    <xf numFmtId="164" fontId="5" fillId="0" borderId="37" xfId="30" applyNumberFormat="1" applyFont="1" applyBorder="1"/>
    <xf numFmtId="164" fontId="5" fillId="0" borderId="15" xfId="30" applyNumberFormat="1" applyFont="1" applyBorder="1"/>
    <xf numFmtId="1" fontId="5" fillId="34" borderId="13" xfId="0" applyNumberFormat="1" applyFont="1" applyFill="1" applyBorder="1" applyAlignment="1">
      <alignment horizontal="center" vertical="center"/>
    </xf>
    <xf numFmtId="167" fontId="7" fillId="30" borderId="54" xfId="45" applyNumberFormat="1" applyFont="1" applyFill="1" applyBorder="1"/>
    <xf numFmtId="164" fontId="5" fillId="30" borderId="16" xfId="0" applyNumberFormat="1" applyFont="1" applyFill="1" applyBorder="1" applyAlignment="1">
      <alignment vertical="top"/>
    </xf>
    <xf numFmtId="166" fontId="5" fillId="0" borderId="13" xfId="0" applyNumberFormat="1" applyFont="1" applyFill="1" applyBorder="1" applyAlignment="1">
      <alignment horizontal="center" vertical="center"/>
    </xf>
    <xf numFmtId="1" fontId="5" fillId="34" borderId="79" xfId="46" applyNumberFormat="1" applyFont="1" applyFill="1" applyBorder="1" applyAlignment="1">
      <alignment horizontal="center"/>
    </xf>
    <xf numFmtId="0" fontId="5" fillId="0" borderId="93" xfId="0" applyFont="1" applyFill="1" applyBorder="1" applyAlignment="1">
      <alignment horizontal="center" vertical="top" wrapText="1"/>
    </xf>
    <xf numFmtId="171" fontId="5" fillId="0" borderId="93" xfId="30" applyNumberFormat="1" applyFont="1" applyFill="1" applyBorder="1"/>
    <xf numFmtId="164" fontId="7" fillId="0" borderId="93" xfId="30" applyNumberFormat="1" applyFont="1" applyFill="1" applyBorder="1"/>
    <xf numFmtId="164" fontId="5" fillId="0" borderId="93" xfId="30" applyNumberFormat="1" applyFont="1" applyFill="1" applyBorder="1"/>
    <xf numFmtId="164" fontId="7" fillId="0" borderId="93" xfId="30" applyNumberFormat="1" applyFont="1" applyBorder="1"/>
    <xf numFmtId="164" fontId="5" fillId="0" borderId="93" xfId="30" applyNumberFormat="1" applyFont="1" applyBorder="1"/>
    <xf numFmtId="164" fontId="5" fillId="0" borderId="98" xfId="30" applyNumberFormat="1" applyFont="1" applyBorder="1"/>
    <xf numFmtId="0" fontId="7" fillId="34" borderId="0" xfId="0" applyFont="1" applyFill="1" applyAlignment="1">
      <alignment horizontal="center" wrapText="1"/>
    </xf>
    <xf numFmtId="0" fontId="7" fillId="34" borderId="0" xfId="0" applyFont="1" applyFill="1" applyAlignment="1">
      <alignment wrapText="1"/>
    </xf>
    <xf numFmtId="167" fontId="5" fillId="0" borderId="39" xfId="46" applyNumberFormat="1" applyFont="1" applyFill="1" applyBorder="1"/>
    <xf numFmtId="164" fontId="10" fillId="0" borderId="44" xfId="0" applyNumberFormat="1" applyFont="1" applyFill="1" applyBorder="1" applyAlignment="1">
      <alignment horizontal="right" vertical="top" wrapText="1"/>
    </xf>
    <xf numFmtId="0" fontId="5" fillId="0" borderId="0" xfId="0" applyFont="1" applyFill="1" applyAlignment="1">
      <alignment wrapText="1"/>
    </xf>
    <xf numFmtId="167" fontId="10" fillId="0" borderId="36" xfId="0" applyNumberFormat="1" applyFont="1" applyFill="1" applyBorder="1" applyAlignment="1">
      <alignment horizontal="right" vertical="top" wrapText="1"/>
    </xf>
    <xf numFmtId="0" fontId="5" fillId="0" borderId="73" xfId="0" applyFont="1" applyFill="1" applyBorder="1" applyAlignment="1">
      <alignment horizontal="center" vertical="top" wrapText="1"/>
    </xf>
    <xf numFmtId="171" fontId="5" fillId="0" borderId="73" xfId="30" applyNumberFormat="1" applyFont="1" applyFill="1" applyBorder="1"/>
    <xf numFmtId="164" fontId="7" fillId="0" borderId="73" xfId="30" applyNumberFormat="1" applyFont="1" applyFill="1" applyBorder="1"/>
    <xf numFmtId="164" fontId="5" fillId="0" borderId="73" xfId="30" applyNumberFormat="1" applyFont="1" applyFill="1" applyBorder="1"/>
    <xf numFmtId="164" fontId="7" fillId="0" borderId="73" xfId="30" applyNumberFormat="1" applyFont="1" applyBorder="1"/>
    <xf numFmtId="164" fontId="5" fillId="0" borderId="73" xfId="30" applyNumberFormat="1" applyFont="1" applyBorder="1"/>
    <xf numFmtId="164" fontId="5" fillId="0" borderId="96" xfId="30" applyNumberFormat="1" applyFont="1" applyBorder="1"/>
    <xf numFmtId="164" fontId="5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1" fontId="5" fillId="0" borderId="14" xfId="0" applyNumberFormat="1" applyFont="1" applyFill="1" applyBorder="1" applyAlignment="1">
      <alignment horizontal="left" vertical="top"/>
    </xf>
    <xf numFmtId="0" fontId="5" fillId="0" borderId="0" xfId="0" applyFont="1" applyFill="1" applyAlignment="1">
      <alignment vertical="top"/>
    </xf>
    <xf numFmtId="164" fontId="5" fillId="0" borderId="0" xfId="0" applyNumberFormat="1" applyFont="1" applyFill="1" applyBorder="1" applyAlignment="1">
      <alignment horizontal="centerContinuous" vertical="center" wrapText="1"/>
    </xf>
    <xf numFmtId="167" fontId="7" fillId="0" borderId="0" xfId="0" applyNumberFormat="1" applyFont="1" applyFill="1" applyBorder="1" applyAlignment="1">
      <alignment horizontal="right" vertical="center" wrapText="1"/>
    </xf>
    <xf numFmtId="1" fontId="5" fillId="0" borderId="14" xfId="0" applyNumberFormat="1" applyFont="1" applyFill="1" applyBorder="1" applyAlignment="1">
      <alignment horizontal="left" vertical="center"/>
    </xf>
    <xf numFmtId="1" fontId="5" fillId="0" borderId="24" xfId="0" applyNumberFormat="1" applyFont="1" applyFill="1" applyBorder="1" applyAlignment="1">
      <alignment horizontal="left" vertical="center"/>
    </xf>
    <xf numFmtId="1" fontId="5" fillId="0" borderId="26" xfId="0" applyNumberFormat="1" applyFont="1" applyFill="1" applyBorder="1" applyAlignment="1">
      <alignment horizontal="center" vertical="center" wrapText="1"/>
    </xf>
    <xf numFmtId="1" fontId="5" fillId="0" borderId="26" xfId="0" applyNumberFormat="1" applyFont="1" applyFill="1" applyBorder="1" applyAlignment="1">
      <alignment horizontal="left" vertical="center"/>
    </xf>
    <xf numFmtId="1" fontId="5" fillId="0" borderId="39" xfId="0" applyNumberFormat="1" applyFont="1" applyFill="1" applyBorder="1" applyAlignment="1">
      <alignment horizontal="left" vertical="center"/>
    </xf>
    <xf numFmtId="167" fontId="5" fillId="0" borderId="38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left" vertical="center" wrapText="1"/>
    </xf>
    <xf numFmtId="164" fontId="5" fillId="0" borderId="0" xfId="0" applyNumberFormat="1" applyFont="1" applyFill="1" applyAlignment="1">
      <alignment vertical="center" wrapText="1"/>
    </xf>
    <xf numFmtId="164" fontId="7" fillId="0" borderId="0" xfId="0" applyNumberFormat="1" applyFont="1" applyFill="1" applyAlignment="1">
      <alignment vertical="center" wrapText="1"/>
    </xf>
    <xf numFmtId="167" fontId="7" fillId="0" borderId="0" xfId="0" applyNumberFormat="1" applyFont="1" applyFill="1" applyAlignment="1">
      <alignment horizontal="right" vertical="center" wrapText="1"/>
    </xf>
    <xf numFmtId="167" fontId="5" fillId="26" borderId="44" xfId="0" applyNumberFormat="1" applyFont="1" applyFill="1" applyBorder="1" applyAlignment="1">
      <alignment horizontal="right" vertical="top" wrapText="1"/>
    </xf>
    <xf numFmtId="0" fontId="5" fillId="26" borderId="36" xfId="0" applyFont="1" applyFill="1" applyBorder="1" applyAlignment="1">
      <alignment horizontal="right" vertical="top" wrapText="1"/>
    </xf>
    <xf numFmtId="0" fontId="5" fillId="26" borderId="44" xfId="0" applyFont="1" applyFill="1" applyBorder="1" applyAlignment="1">
      <alignment horizontal="right" vertical="top" wrapText="1"/>
    </xf>
    <xf numFmtId="167" fontId="5" fillId="26" borderId="37" xfId="0" applyNumberFormat="1" applyFont="1" applyFill="1" applyBorder="1" applyAlignment="1">
      <alignment horizontal="right" vertical="top" wrapText="1"/>
    </xf>
    <xf numFmtId="164" fontId="5" fillId="26" borderId="44" xfId="0" applyNumberFormat="1" applyFont="1" applyFill="1" applyBorder="1" applyAlignment="1">
      <alignment horizontal="right" vertical="top" wrapText="1"/>
    </xf>
    <xf numFmtId="164" fontId="5" fillId="26" borderId="46" xfId="0" applyNumberFormat="1" applyFont="1" applyFill="1" applyBorder="1" applyAlignment="1">
      <alignment horizontal="right" vertical="top" wrapText="1"/>
    </xf>
    <xf numFmtId="1" fontId="5" fillId="0" borderId="13" xfId="0" applyNumberFormat="1" applyFont="1" applyFill="1" applyBorder="1" applyAlignment="1">
      <alignment horizontal="right" vertical="top"/>
    </xf>
    <xf numFmtId="1" fontId="5" fillId="0" borderId="20" xfId="0" applyNumberFormat="1" applyFont="1" applyFill="1" applyBorder="1" applyAlignment="1">
      <alignment horizontal="right" vertical="top" wrapText="1"/>
    </xf>
    <xf numFmtId="164" fontId="5" fillId="0" borderId="13" xfId="0" applyNumberFormat="1" applyFont="1" applyFill="1" applyBorder="1" applyAlignment="1">
      <alignment horizontal="right" wrapText="1"/>
    </xf>
    <xf numFmtId="164" fontId="5" fillId="0" borderId="20" xfId="0" applyNumberFormat="1" applyFont="1" applyFill="1" applyBorder="1" applyAlignment="1">
      <alignment horizontal="right" wrapText="1"/>
    </xf>
    <xf numFmtId="166" fontId="7" fillId="0" borderId="0" xfId="0" applyNumberFormat="1" applyFont="1" applyFill="1"/>
    <xf numFmtId="164" fontId="12" fillId="0" borderId="18" xfId="0" applyNumberFormat="1" applyFont="1" applyFill="1" applyBorder="1" applyAlignment="1">
      <alignment vertical="top" wrapText="1"/>
    </xf>
    <xf numFmtId="164" fontId="5" fillId="0" borderId="24" xfId="0" applyNumberFormat="1" applyFont="1" applyFill="1" applyBorder="1" applyAlignment="1">
      <alignment horizontal="left" vertical="top" wrapText="1"/>
    </xf>
    <xf numFmtId="10" fontId="5" fillId="0" borderId="26" xfId="0" applyNumberFormat="1" applyFont="1" applyFill="1" applyBorder="1" applyAlignment="1">
      <alignment horizontal="center"/>
    </xf>
    <xf numFmtId="10" fontId="5" fillId="0" borderId="39" xfId="0" applyNumberFormat="1" applyFont="1" applyFill="1" applyBorder="1" applyAlignment="1">
      <alignment horizontal="center"/>
    </xf>
    <xf numFmtId="165" fontId="5" fillId="0" borderId="74" xfId="0" applyNumberFormat="1" applyFont="1" applyFill="1" applyBorder="1" applyAlignment="1">
      <alignment horizontal="center"/>
    </xf>
    <xf numFmtId="165" fontId="7" fillId="0" borderId="0" xfId="56" applyNumberFormat="1" applyFont="1" applyFill="1"/>
    <xf numFmtId="164" fontId="7" fillId="0" borderId="0" xfId="0" applyNumberFormat="1" applyFont="1" applyFill="1" applyAlignment="1">
      <alignment horizontal="right"/>
    </xf>
    <xf numFmtId="0" fontId="7" fillId="27" borderId="0" xfId="0" applyFont="1" applyFill="1" applyAlignment="1">
      <alignment horizontal="center"/>
    </xf>
    <xf numFmtId="10" fontId="5" fillId="0" borderId="39" xfId="0" applyNumberFormat="1" applyFont="1" applyFill="1" applyBorder="1" applyAlignment="1">
      <alignment horizontal="right"/>
    </xf>
    <xf numFmtId="10" fontId="5" fillId="0" borderId="13" xfId="0" applyNumberFormat="1" applyFont="1" applyFill="1" applyBorder="1" applyAlignment="1">
      <alignment horizontal="right"/>
    </xf>
    <xf numFmtId="10" fontId="5" fillId="0" borderId="74" xfId="0" applyNumberFormat="1" applyFont="1" applyFill="1" applyBorder="1" applyAlignment="1">
      <alignment horizontal="right"/>
    </xf>
    <xf numFmtId="167" fontId="5" fillId="33" borderId="25" xfId="0" applyNumberFormat="1" applyFont="1" applyFill="1" applyBorder="1" applyAlignment="1">
      <alignment horizontal="right" vertical="top" wrapText="1"/>
    </xf>
    <xf numFmtId="164" fontId="5" fillId="26" borderId="28" xfId="0" applyNumberFormat="1" applyFont="1" applyFill="1" applyBorder="1" applyAlignment="1">
      <alignment horizontal="right" vertical="top" wrapText="1"/>
    </xf>
    <xf numFmtId="164" fontId="5" fillId="0" borderId="18" xfId="0" applyNumberFormat="1" applyFont="1" applyFill="1" applyBorder="1" applyAlignment="1">
      <alignment vertical="top"/>
    </xf>
    <xf numFmtId="9" fontId="5" fillId="0" borderId="38" xfId="0" applyNumberFormat="1" applyFont="1" applyFill="1" applyBorder="1" applyAlignment="1">
      <alignment horizontal="center"/>
    </xf>
    <xf numFmtId="167" fontId="7" fillId="0" borderId="0" xfId="0" applyNumberFormat="1" applyFont="1"/>
    <xf numFmtId="170" fontId="7" fillId="0" borderId="0" xfId="0" applyNumberFormat="1" applyFont="1"/>
    <xf numFmtId="167" fontId="5" fillId="26" borderId="25" xfId="0" applyNumberFormat="1" applyFont="1" applyFill="1" applyBorder="1" applyAlignment="1">
      <alignment horizontal="right" vertical="top" wrapText="1"/>
    </xf>
    <xf numFmtId="167" fontId="5" fillId="26" borderId="28" xfId="0" applyNumberFormat="1" applyFont="1" applyFill="1" applyBorder="1" applyAlignment="1">
      <alignment horizontal="right" vertical="top" wrapText="1"/>
    </xf>
    <xf numFmtId="0" fontId="7" fillId="0" borderId="0" xfId="0" applyFont="1" applyFill="1" applyAlignment="1">
      <alignment horizontal="right" wrapText="1"/>
    </xf>
    <xf numFmtId="0" fontId="7" fillId="0" borderId="0" xfId="46" applyFont="1"/>
    <xf numFmtId="1" fontId="5" fillId="0" borderId="48" xfId="46" applyNumberFormat="1" applyFont="1" applyFill="1" applyBorder="1" applyAlignment="1">
      <alignment horizontal="left" vertical="top"/>
    </xf>
    <xf numFmtId="0" fontId="5" fillId="0" borderId="39" xfId="46" applyFont="1" applyFill="1" applyBorder="1" applyAlignment="1">
      <alignment vertical="top"/>
    </xf>
    <xf numFmtId="0" fontId="5" fillId="0" borderId="26" xfId="46" applyFont="1" applyFill="1" applyBorder="1" applyAlignment="1">
      <alignment vertical="top"/>
    </xf>
    <xf numFmtId="0" fontId="5" fillId="0" borderId="38" xfId="46" applyFont="1" applyFill="1" applyBorder="1" applyAlignment="1">
      <alignment vertical="top"/>
    </xf>
    <xf numFmtId="164" fontId="5" fillId="26" borderId="51" xfId="46" applyNumberFormat="1" applyFont="1" applyFill="1" applyBorder="1" applyAlignment="1">
      <alignment horizontal="right" vertical="top" wrapText="1"/>
    </xf>
    <xf numFmtId="164" fontId="5" fillId="26" borderId="42" xfId="46" applyNumberFormat="1" applyFont="1" applyFill="1" applyBorder="1" applyAlignment="1">
      <alignment horizontal="right" vertical="top" wrapText="1"/>
    </xf>
    <xf numFmtId="164" fontId="5" fillId="26" borderId="77" xfId="46" applyNumberFormat="1" applyFont="1" applyFill="1" applyBorder="1" applyAlignment="1">
      <alignment horizontal="right" vertical="top" wrapText="1"/>
    </xf>
    <xf numFmtId="0" fontId="5" fillId="0" borderId="39" xfId="46" applyFont="1" applyFill="1" applyBorder="1" applyAlignment="1">
      <alignment horizontal="right" vertical="top"/>
    </xf>
    <xf numFmtId="0" fontId="5" fillId="0" borderId="26" xfId="46" applyFont="1" applyFill="1" applyBorder="1" applyAlignment="1">
      <alignment horizontal="right" vertical="top"/>
    </xf>
    <xf numFmtId="0" fontId="5" fillId="0" borderId="20" xfId="46" applyFont="1" applyFill="1" applyBorder="1" applyAlignment="1">
      <alignment horizontal="right" vertical="top"/>
    </xf>
    <xf numFmtId="0" fontId="5" fillId="26" borderId="18" xfId="0" applyFont="1" applyFill="1" applyBorder="1" applyAlignment="1">
      <alignment horizontal="right" vertical="top" wrapText="1"/>
    </xf>
    <xf numFmtId="0" fontId="5" fillId="26" borderId="97" xfId="0" applyFont="1" applyFill="1" applyBorder="1" applyAlignment="1">
      <alignment horizontal="right" vertical="top" wrapText="1"/>
    </xf>
    <xf numFmtId="0" fontId="5" fillId="26" borderId="28" xfId="0" applyFont="1" applyFill="1" applyBorder="1" applyAlignment="1">
      <alignment horizontal="right" vertical="top" wrapText="1"/>
    </xf>
    <xf numFmtId="0" fontId="5" fillId="26" borderId="34" xfId="0" applyFont="1" applyFill="1" applyBorder="1" applyAlignment="1">
      <alignment horizontal="right" vertical="top" wrapText="1"/>
    </xf>
    <xf numFmtId="0" fontId="5" fillId="26" borderId="62" xfId="0" applyFont="1" applyFill="1" applyBorder="1" applyAlignment="1">
      <alignment horizontal="right" vertical="top" wrapText="1"/>
    </xf>
    <xf numFmtId="0" fontId="5" fillId="0" borderId="14" xfId="0" applyFont="1" applyFill="1" applyBorder="1" applyAlignment="1">
      <alignment horizontal="right" vertical="top" wrapText="1"/>
    </xf>
    <xf numFmtId="0" fontId="5" fillId="0" borderId="20" xfId="0" applyFont="1" applyFill="1" applyBorder="1" applyAlignment="1">
      <alignment horizontal="right" vertical="top" wrapText="1"/>
    </xf>
    <xf numFmtId="0" fontId="5" fillId="0" borderId="69" xfId="0" applyFont="1" applyFill="1" applyBorder="1" applyAlignment="1">
      <alignment horizontal="right" vertical="top" wrapText="1"/>
    </xf>
    <xf numFmtId="0" fontId="5" fillId="26" borderId="76" xfId="0" applyFont="1" applyFill="1" applyBorder="1" applyAlignment="1">
      <alignment horizontal="right" vertical="top" wrapText="1"/>
    </xf>
    <xf numFmtId="164" fontId="5" fillId="26" borderId="81" xfId="47" applyNumberFormat="1" applyFont="1" applyFill="1" applyBorder="1" applyAlignment="1">
      <alignment horizontal="right" vertical="top" wrapText="1"/>
    </xf>
    <xf numFmtId="164" fontId="5" fillId="26" borderId="28" xfId="47" applyNumberFormat="1" applyFont="1" applyFill="1" applyBorder="1" applyAlignment="1">
      <alignment horizontal="right" vertical="top" wrapText="1"/>
    </xf>
    <xf numFmtId="0" fontId="5" fillId="0" borderId="82" xfId="0" applyFont="1" applyFill="1" applyBorder="1" applyAlignment="1">
      <alignment horizontal="right" vertical="top" wrapText="1"/>
    </xf>
    <xf numFmtId="0" fontId="5" fillId="0" borderId="75" xfId="0" applyFont="1" applyFill="1" applyBorder="1" applyAlignment="1">
      <alignment horizontal="right" vertical="top" wrapText="1"/>
    </xf>
    <xf numFmtId="0" fontId="5" fillId="0" borderId="91" xfId="0" applyFont="1" applyFill="1" applyBorder="1" applyAlignment="1">
      <alignment horizontal="right" vertical="top" wrapText="1"/>
    </xf>
    <xf numFmtId="168" fontId="5" fillId="26" borderId="10" xfId="0" applyNumberFormat="1" applyFont="1" applyFill="1" applyBorder="1" applyAlignment="1">
      <alignment horizontal="right" vertical="top" wrapText="1"/>
    </xf>
    <xf numFmtId="168" fontId="5" fillId="26" borderId="73" xfId="0" applyNumberFormat="1" applyFont="1" applyFill="1" applyBorder="1" applyAlignment="1">
      <alignment horizontal="right" vertical="top" wrapText="1"/>
    </xf>
    <xf numFmtId="168" fontId="5" fillId="0" borderId="26" xfId="0" applyNumberFormat="1" applyFont="1" applyFill="1" applyBorder="1" applyAlignment="1">
      <alignment horizontal="right" vertical="center"/>
    </xf>
    <xf numFmtId="168" fontId="5" fillId="0" borderId="74" xfId="0" applyNumberFormat="1" applyFont="1" applyFill="1" applyBorder="1" applyAlignment="1">
      <alignment horizontal="right" vertical="center"/>
    </xf>
    <xf numFmtId="168" fontId="5" fillId="26" borderId="26" xfId="0" applyNumberFormat="1" applyFont="1" applyFill="1" applyBorder="1" applyAlignment="1">
      <alignment horizontal="right" vertical="top" wrapText="1"/>
    </xf>
    <xf numFmtId="168" fontId="5" fillId="33" borderId="26" xfId="0" applyNumberFormat="1" applyFont="1" applyFill="1" applyBorder="1" applyAlignment="1">
      <alignment horizontal="right" vertical="top" wrapText="1"/>
    </xf>
    <xf numFmtId="168" fontId="5" fillId="26" borderId="38" xfId="0" applyNumberFormat="1" applyFont="1" applyFill="1" applyBorder="1" applyAlignment="1">
      <alignment horizontal="right" vertical="top" wrapText="1"/>
    </xf>
    <xf numFmtId="168" fontId="5" fillId="31" borderId="26" xfId="0" applyNumberFormat="1" applyFont="1" applyFill="1" applyBorder="1" applyAlignment="1">
      <alignment horizontal="right" vertical="center"/>
    </xf>
    <xf numFmtId="168" fontId="5" fillId="31" borderId="38" xfId="0" applyNumberFormat="1" applyFont="1" applyFill="1" applyBorder="1" applyAlignment="1">
      <alignment horizontal="right" vertical="center"/>
    </xf>
    <xf numFmtId="0" fontId="7" fillId="33" borderId="0" xfId="0" applyFont="1" applyFill="1"/>
    <xf numFmtId="0" fontId="7" fillId="34" borderId="0" xfId="0" applyFont="1" applyFill="1"/>
    <xf numFmtId="0" fontId="7" fillId="0" borderId="54" xfId="0" applyFont="1" applyBorder="1"/>
    <xf numFmtId="0" fontId="7" fillId="31" borderId="54" xfId="0" applyFont="1" applyFill="1" applyBorder="1"/>
    <xf numFmtId="168" fontId="7" fillId="0" borderId="31" xfId="0" applyNumberFormat="1" applyFont="1" applyBorder="1" applyAlignment="1">
      <alignment horizontal="center" vertical="center" textRotation="180" readingOrder="1"/>
    </xf>
    <xf numFmtId="168" fontId="7" fillId="0" borderId="0" xfId="0" applyNumberFormat="1" applyFont="1" applyBorder="1" applyAlignment="1">
      <alignment horizontal="center" vertical="center" textRotation="180" readingOrder="1"/>
    </xf>
    <xf numFmtId="0" fontId="7" fillId="0" borderId="0" xfId="0" applyFont="1" applyBorder="1" applyAlignment="1">
      <alignment horizontal="center"/>
    </xf>
    <xf numFmtId="168" fontId="5" fillId="26" borderId="39" xfId="0" applyNumberFormat="1" applyFont="1" applyFill="1" applyBorder="1" applyAlignment="1">
      <alignment horizontal="right" vertical="top" wrapText="1"/>
    </xf>
    <xf numFmtId="168" fontId="5" fillId="33" borderId="39" xfId="0" applyNumberFormat="1" applyFont="1" applyFill="1" applyBorder="1" applyAlignment="1">
      <alignment horizontal="right" vertical="top" wrapText="1"/>
    </xf>
    <xf numFmtId="168" fontId="5" fillId="33" borderId="10" xfId="0" applyNumberFormat="1" applyFont="1" applyFill="1" applyBorder="1" applyAlignment="1">
      <alignment horizontal="right" vertical="top" wrapText="1"/>
    </xf>
    <xf numFmtId="0" fontId="5" fillId="33" borderId="10" xfId="0" applyFont="1" applyFill="1" applyBorder="1" applyAlignment="1">
      <alignment horizontal="right" vertical="top" wrapText="1"/>
    </xf>
    <xf numFmtId="0" fontId="5" fillId="33" borderId="39" xfId="0" applyFont="1" applyFill="1" applyBorder="1" applyAlignment="1">
      <alignment horizontal="right" vertical="top" wrapText="1"/>
    </xf>
    <xf numFmtId="168" fontId="5" fillId="34" borderId="38" xfId="0" applyNumberFormat="1" applyFont="1" applyFill="1" applyBorder="1" applyAlignment="1">
      <alignment horizontal="right" vertical="top" wrapText="1"/>
    </xf>
    <xf numFmtId="168" fontId="5" fillId="26" borderId="53" xfId="0" applyNumberFormat="1" applyFont="1" applyFill="1" applyBorder="1" applyAlignment="1">
      <alignment horizontal="right" vertical="top" wrapText="1"/>
    </xf>
    <xf numFmtId="0" fontId="7" fillId="0" borderId="0" xfId="0" applyFont="1" applyAlignment="1">
      <alignment horizontal="right"/>
    </xf>
    <xf numFmtId="0" fontId="5" fillId="26" borderId="53" xfId="0" applyFont="1" applyFill="1" applyBorder="1" applyAlignment="1">
      <alignment horizontal="right" vertical="top" wrapText="1"/>
    </xf>
    <xf numFmtId="168" fontId="5" fillId="0" borderId="53" xfId="0" applyNumberFormat="1" applyFont="1" applyFill="1" applyBorder="1" applyAlignment="1">
      <alignment horizontal="right" vertical="center"/>
    </xf>
    <xf numFmtId="168" fontId="5" fillId="31" borderId="53" xfId="0" applyNumberFormat="1" applyFont="1" applyFill="1" applyBorder="1" applyAlignment="1">
      <alignment horizontal="right" vertical="center"/>
    </xf>
    <xf numFmtId="0" fontId="7" fillId="0" borderId="14" xfId="0" applyFont="1" applyBorder="1"/>
    <xf numFmtId="0" fontId="7" fillId="0" borderId="76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7" fillId="0" borderId="24" xfId="0" applyFont="1" applyBorder="1"/>
    <xf numFmtId="10" fontId="5" fillId="0" borderId="38" xfId="0" applyNumberFormat="1" applyFont="1" applyFill="1" applyBorder="1" applyAlignment="1">
      <alignment horizontal="center"/>
    </xf>
    <xf numFmtId="0" fontId="7" fillId="0" borderId="65" xfId="45" applyFont="1" applyBorder="1" applyAlignment="1">
      <alignment horizontal="center" vertical="top" wrapText="1"/>
    </xf>
    <xf numFmtId="168" fontId="5" fillId="0" borderId="53" xfId="45" applyNumberFormat="1" applyFont="1" applyBorder="1" applyAlignment="1">
      <alignment horizontal="center" vertical="top" wrapText="1"/>
    </xf>
    <xf numFmtId="168" fontId="35" fillId="29" borderId="53" xfId="45" applyNumberFormat="1" applyFont="1" applyFill="1" applyBorder="1" applyAlignment="1">
      <alignment horizontal="center" vertical="top" wrapText="1"/>
    </xf>
    <xf numFmtId="168" fontId="5" fillId="0" borderId="68" xfId="45" applyNumberFormat="1" applyFont="1" applyBorder="1" applyAlignment="1">
      <alignment horizontal="center" vertical="top" wrapText="1"/>
    </xf>
    <xf numFmtId="167" fontId="1" fillId="29" borderId="92" xfId="0" applyNumberFormat="1" applyFont="1" applyFill="1" applyBorder="1"/>
    <xf numFmtId="167" fontId="1" fillId="0" borderId="92" xfId="0" applyNumberFormat="1" applyFont="1" applyBorder="1"/>
    <xf numFmtId="168" fontId="5" fillId="0" borderId="63" xfId="45" applyNumberFormat="1" applyFont="1" applyBorder="1" applyAlignment="1">
      <alignment horizontal="right" vertical="top" wrapText="1"/>
    </xf>
    <xf numFmtId="168" fontId="35" fillId="29" borderId="63" xfId="45" applyNumberFormat="1" applyFont="1" applyFill="1" applyBorder="1" applyAlignment="1">
      <alignment horizontal="right" vertical="top" wrapText="1"/>
    </xf>
    <xf numFmtId="168" fontId="5" fillId="0" borderId="64" xfId="45" applyNumberFormat="1" applyFont="1" applyBorder="1" applyAlignment="1">
      <alignment horizontal="right" vertical="top" wrapText="1"/>
    </xf>
    <xf numFmtId="168" fontId="5" fillId="0" borderId="66" xfId="45" applyNumberFormat="1" applyFont="1" applyBorder="1" applyAlignment="1">
      <alignment horizontal="right" vertical="top" wrapText="1"/>
    </xf>
    <xf numFmtId="168" fontId="35" fillId="29" borderId="66" xfId="45" applyNumberFormat="1" applyFont="1" applyFill="1" applyBorder="1" applyAlignment="1">
      <alignment horizontal="right" vertical="top" wrapText="1"/>
    </xf>
    <xf numFmtId="168" fontId="5" fillId="0" borderId="67" xfId="45" applyNumberFormat="1" applyFont="1" applyBorder="1" applyAlignment="1">
      <alignment horizontal="right" vertical="top" wrapText="1"/>
    </xf>
    <xf numFmtId="164" fontId="5" fillId="26" borderId="89" xfId="0" applyNumberFormat="1" applyFont="1" applyFill="1" applyBorder="1" applyAlignment="1">
      <alignment horizontal="right" vertical="top" wrapText="1"/>
    </xf>
    <xf numFmtId="164" fontId="5" fillId="33" borderId="46" xfId="0" applyNumberFormat="1" applyFont="1" applyFill="1" applyBorder="1" applyAlignment="1">
      <alignment horizontal="right" vertical="top" wrapText="1"/>
    </xf>
    <xf numFmtId="0" fontId="5" fillId="0" borderId="0" xfId="0" applyNumberFormat="1" applyFont="1" applyFill="1" applyBorder="1" applyAlignment="1">
      <alignment horizontal="left" vertical="top" wrapText="1"/>
    </xf>
    <xf numFmtId="0" fontId="7" fillId="0" borderId="0" xfId="0" applyFont="1" applyFill="1" applyAlignment="1">
      <alignment horizontal="center" vertical="top"/>
    </xf>
    <xf numFmtId="164" fontId="5" fillId="26" borderId="35" xfId="0" applyNumberFormat="1" applyFont="1" applyFill="1" applyBorder="1" applyAlignment="1">
      <alignment horizontal="right" vertical="top" wrapText="1"/>
    </xf>
    <xf numFmtId="164" fontId="5" fillId="0" borderId="26" xfId="0" applyNumberFormat="1" applyFont="1" applyFill="1" applyBorder="1" applyAlignment="1">
      <alignment wrapText="1"/>
    </xf>
    <xf numFmtId="164" fontId="7" fillId="0" borderId="26" xfId="0" applyNumberFormat="1" applyFont="1" applyFill="1" applyBorder="1" applyAlignment="1">
      <alignment wrapText="1"/>
    </xf>
    <xf numFmtId="164" fontId="5" fillId="0" borderId="10" xfId="0" applyNumberFormat="1" applyFont="1" applyFill="1" applyBorder="1" applyAlignment="1">
      <alignment wrapText="1"/>
    </xf>
    <xf numFmtId="164" fontId="7" fillId="0" borderId="10" xfId="0" applyNumberFormat="1" applyFont="1" applyFill="1" applyBorder="1" applyAlignment="1">
      <alignment wrapText="1"/>
    </xf>
    <xf numFmtId="164" fontId="5" fillId="0" borderId="22" xfId="0" applyNumberFormat="1" applyFont="1" applyFill="1" applyBorder="1" applyAlignment="1"/>
    <xf numFmtId="164" fontId="5" fillId="0" borderId="0" xfId="0" applyNumberFormat="1" applyFont="1" applyFill="1" applyBorder="1" applyAlignment="1">
      <alignment horizontal="left"/>
    </xf>
    <xf numFmtId="0" fontId="35" fillId="0" borderId="0" xfId="0" applyFont="1" applyFill="1" applyAlignment="1">
      <alignment horizontal="left"/>
    </xf>
    <xf numFmtId="0" fontId="5" fillId="0" borderId="0" xfId="0" applyFont="1" applyFill="1" applyAlignment="1">
      <alignment horizontal="left"/>
    </xf>
  </cellXfs>
  <cellStyles count="60">
    <cellStyle name="0,0_x000d__x000a_NA_x000d__x000a_" xfId="1"/>
    <cellStyle name="0,0_x000d__x000a_NA_x000d__x000a_ 2" xfId="2"/>
    <cellStyle name="20% - Accent1" xfId="3" builtinId="30" customBuiltin="1"/>
    <cellStyle name="20% - Accent2" xfId="4" builtinId="34" customBuiltin="1"/>
    <cellStyle name="20% - Accent3" xfId="5" builtinId="38" customBuiltin="1"/>
    <cellStyle name="20% - Accent4" xfId="6" builtinId="42" customBuiltin="1"/>
    <cellStyle name="20% - Accent5" xfId="7" builtinId="46" customBuiltin="1"/>
    <cellStyle name="20% - Accent6" xfId="8" builtinId="50" customBuiltin="1"/>
    <cellStyle name="40% - Accent1" xfId="9" builtinId="31" customBuiltin="1"/>
    <cellStyle name="40% - Accent2" xfId="10" builtinId="35" customBuiltin="1"/>
    <cellStyle name="40% - Accent3" xfId="11" builtinId="39" customBuiltin="1"/>
    <cellStyle name="40% - Accent4" xfId="12" builtinId="43" customBuiltin="1"/>
    <cellStyle name="40% - Accent5" xfId="13" builtinId="47" customBuiltin="1"/>
    <cellStyle name="40% - Accent6" xfId="14" builtinId="51" customBuiltin="1"/>
    <cellStyle name="60% - Accent1" xfId="15" builtinId="32" customBuiltin="1"/>
    <cellStyle name="60% - Accent2" xfId="16" builtinId="36" customBuiltin="1"/>
    <cellStyle name="60% - Accent3" xfId="17" builtinId="40" customBuiltin="1"/>
    <cellStyle name="60% - Accent4" xfId="18" builtinId="44" customBuiltin="1"/>
    <cellStyle name="60% - Accent5" xfId="19" builtinId="48" customBuiltin="1"/>
    <cellStyle name="60% - Accent6" xfId="20" builtinId="52" customBuiltin="1"/>
    <cellStyle name="Accent1" xfId="21" builtinId="29" customBuiltin="1"/>
    <cellStyle name="Accent2" xfId="22" builtinId="33" customBuiltin="1"/>
    <cellStyle name="Accent3" xfId="23" builtinId="37" customBuiltin="1"/>
    <cellStyle name="Accent4" xfId="24" builtinId="41" customBuiltin="1"/>
    <cellStyle name="Accent5" xfId="25" builtinId="45" customBuiltin="1"/>
    <cellStyle name="Accent6" xfId="26" builtinId="49" customBuiltin="1"/>
    <cellStyle name="Bad" xfId="27" builtinId="27" customBuiltin="1"/>
    <cellStyle name="Calculation" xfId="28" builtinId="22" customBuiltin="1"/>
    <cellStyle name="Check Cell" xfId="29" builtinId="23" customBuiltin="1"/>
    <cellStyle name="Comma" xfId="30" builtinId="3"/>
    <cellStyle name="Comma 2" xfId="31"/>
    <cellStyle name="Comma 3" xfId="32"/>
    <cellStyle name="Comma 4" xfId="33"/>
    <cellStyle name="Explanatory Text" xfId="34" builtinId="53" customBuiltin="1"/>
    <cellStyle name="Good" xfId="35" builtinId="26" customBuiltin="1"/>
    <cellStyle name="Heading 1" xfId="36" builtinId="16" customBuiltin="1"/>
    <cellStyle name="Heading 2" xfId="37" builtinId="17" customBuiltin="1"/>
    <cellStyle name="Heading 3" xfId="38" builtinId="18" customBuiltin="1"/>
    <cellStyle name="Heading 4" xfId="39" builtinId="19" customBuiltin="1"/>
    <cellStyle name="Input" xfId="40" builtinId="20" customBuiltin="1"/>
    <cellStyle name="Linked Cell" xfId="41" builtinId="24" customBuiltin="1"/>
    <cellStyle name="Neutral" xfId="42" builtinId="28" customBuiltin="1"/>
    <cellStyle name="Normal" xfId="0" builtinId="0"/>
    <cellStyle name="Normal 2" xfId="43"/>
    <cellStyle name="Normal 3" xfId="44"/>
    <cellStyle name="Normal_Depreciation allocation final" xfId="45"/>
    <cellStyle name="Normal_Table C GMS 2011-12 V1" xfId="46"/>
    <cellStyle name="Normal_Table C GMS 2011-12 V1 2" xfId="47"/>
    <cellStyle name="Note" xfId="48" builtinId="10" customBuiltin="1"/>
    <cellStyle name="Note 2" xfId="49"/>
    <cellStyle name="Output" xfId="50" builtinId="21" customBuiltin="1"/>
    <cellStyle name="Output Amounts" xfId="51"/>
    <cellStyle name="Output Column Headings" xfId="52"/>
    <cellStyle name="Output Line Items" xfId="53"/>
    <cellStyle name="Output Report Heading" xfId="54"/>
    <cellStyle name="Output Report Title" xfId="55"/>
    <cellStyle name="Percent" xfId="56" builtinId="5"/>
    <cellStyle name="Title" xfId="57" builtinId="15" customBuiltin="1"/>
    <cellStyle name="Total" xfId="58" builtinId="25" customBuiltin="1"/>
    <cellStyle name="Warning Text" xfId="59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elliots\Local%20Settings\Temporary%20Internet%20Files\OLK1\Table%20E%20allocation%202010-11%20V1%20(with%20detail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mist_Data workings"/>
      <sheetName val="HSW data 07-8 and 08-9"/>
      <sheetName val="HSW data -Pharmacies in Wales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5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6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17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1" tint="0.499984740745262"/>
    <pageSetUpPr fitToPage="1"/>
  </sheetPr>
  <dimension ref="A1:B24"/>
  <sheetViews>
    <sheetView zoomScale="60" zoomScaleNormal="60" workbookViewId="0">
      <selection activeCell="B15" sqref="B15"/>
    </sheetView>
  </sheetViews>
  <sheetFormatPr defaultColWidth="8.84375" defaultRowHeight="15.5"/>
  <cols>
    <col min="1" max="1" width="12.4609375" style="51" customWidth="1"/>
    <col min="2" max="2" width="97.69140625" style="51" customWidth="1"/>
    <col min="3" max="16384" width="8.84375" style="55"/>
  </cols>
  <sheetData>
    <row r="1" spans="1:2" ht="20">
      <c r="A1" s="72"/>
      <c r="B1" s="56" t="s">
        <v>6</v>
      </c>
    </row>
    <row r="2" spans="1:2" ht="16" thickBot="1">
      <c r="A2" s="28"/>
      <c r="B2" s="28"/>
    </row>
    <row r="3" spans="1:2" ht="18.75" customHeight="1" thickBot="1">
      <c r="A3" s="266"/>
      <c r="B3" s="267" t="s">
        <v>148</v>
      </c>
    </row>
    <row r="4" spans="1:2" ht="18.75" customHeight="1" thickBot="1">
      <c r="A4" s="28"/>
      <c r="B4" s="28"/>
    </row>
    <row r="5" spans="1:2" ht="18.75" customHeight="1">
      <c r="A5" s="74" t="s">
        <v>1</v>
      </c>
      <c r="B5" s="75" t="s">
        <v>112</v>
      </c>
    </row>
    <row r="6" spans="1:2" ht="18.75" customHeight="1">
      <c r="A6" s="76" t="s">
        <v>2</v>
      </c>
      <c r="B6" s="77" t="s">
        <v>41</v>
      </c>
    </row>
    <row r="7" spans="1:2" ht="18.75" customHeight="1" thickBot="1">
      <c r="A7" s="78" t="s">
        <v>106</v>
      </c>
      <c r="B7" s="79" t="s">
        <v>107</v>
      </c>
    </row>
    <row r="8" spans="1:2" ht="18.75" customHeight="1" thickBot="1">
      <c r="A8" s="9"/>
      <c r="B8" s="9"/>
    </row>
    <row r="9" spans="1:2" ht="18.75" customHeight="1">
      <c r="A9" s="74" t="s">
        <v>3</v>
      </c>
      <c r="B9" s="75" t="s">
        <v>27</v>
      </c>
    </row>
    <row r="10" spans="1:2" ht="18.75" customHeight="1" thickBot="1">
      <c r="A10" s="78" t="s">
        <v>4</v>
      </c>
      <c r="B10" s="79" t="s">
        <v>28</v>
      </c>
    </row>
    <row r="11" spans="1:2" s="24" customFormat="1" ht="18.75" customHeight="1" thickBot="1">
      <c r="A11" s="9"/>
      <c r="B11" s="8"/>
    </row>
    <row r="12" spans="1:2" ht="18.75" customHeight="1">
      <c r="A12" s="74" t="s">
        <v>5</v>
      </c>
      <c r="B12" s="75" t="s">
        <v>15</v>
      </c>
    </row>
    <row r="13" spans="1:2" ht="18.75" customHeight="1">
      <c r="A13" s="76" t="s">
        <v>10</v>
      </c>
      <c r="B13" s="77" t="s">
        <v>11</v>
      </c>
    </row>
    <row r="14" spans="1:2" ht="18.75" customHeight="1" thickBot="1">
      <c r="A14" s="78" t="s">
        <v>13</v>
      </c>
      <c r="B14" s="79" t="s">
        <v>12</v>
      </c>
    </row>
    <row r="15" spans="1:2" s="24" customFormat="1" ht="18.75" customHeight="1" thickBot="1">
      <c r="A15" s="9"/>
      <c r="B15" s="9"/>
    </row>
    <row r="16" spans="1:2" ht="18.75" customHeight="1">
      <c r="A16" s="74" t="s">
        <v>17</v>
      </c>
      <c r="B16" s="75" t="s">
        <v>19</v>
      </c>
    </row>
    <row r="17" spans="1:2" ht="18.75" customHeight="1">
      <c r="A17" s="76" t="s">
        <v>18</v>
      </c>
      <c r="B17" s="77" t="s">
        <v>29</v>
      </c>
    </row>
    <row r="18" spans="1:2" ht="18.75" customHeight="1">
      <c r="A18" s="76" t="s">
        <v>56</v>
      </c>
      <c r="B18" s="77" t="s">
        <v>57</v>
      </c>
    </row>
    <row r="19" spans="1:2" ht="18.75" customHeight="1">
      <c r="A19" s="76" t="s">
        <v>88</v>
      </c>
      <c r="B19" s="77" t="s">
        <v>86</v>
      </c>
    </row>
    <row r="20" spans="1:2" ht="18.75" customHeight="1" thickBot="1">
      <c r="A20" s="78" t="s">
        <v>139</v>
      </c>
      <c r="B20" s="79" t="s">
        <v>140</v>
      </c>
    </row>
    <row r="21" spans="1:2" ht="16" thickBot="1"/>
    <row r="22" spans="1:2" ht="16" thickBot="1">
      <c r="A22" s="266"/>
      <c r="B22" s="267" t="s">
        <v>149</v>
      </c>
    </row>
    <row r="23" spans="1:2" ht="16" thickBot="1"/>
    <row r="24" spans="1:2" ht="16" thickBot="1">
      <c r="A24" s="266"/>
      <c r="B24" s="267" t="s">
        <v>327</v>
      </c>
    </row>
  </sheetData>
  <phoneticPr fontId="11" type="noConversion"/>
  <printOptions horizontalCentered="1"/>
  <pageMargins left="0.77" right="0.74803149606299213" top="0.98425196850393704" bottom="0.98425196850393704" header="0.51181102362204722" footer="0.51181102362204722"/>
  <pageSetup paperSize="9" scale="6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1" tint="0.499984740745262"/>
    <pageSetUpPr fitToPage="1"/>
  </sheetPr>
  <dimension ref="A1:I26"/>
  <sheetViews>
    <sheetView topLeftCell="A3" zoomScale="55" zoomScaleNormal="85" workbookViewId="0">
      <selection activeCell="I23" sqref="I23"/>
    </sheetView>
  </sheetViews>
  <sheetFormatPr defaultColWidth="8.84375" defaultRowHeight="15.5"/>
  <cols>
    <col min="1" max="1" width="46.23046875" style="48" customWidth="1"/>
    <col min="2" max="2" width="22.4609375" style="48" customWidth="1"/>
    <col min="3" max="4" width="18.69140625" style="48" customWidth="1"/>
    <col min="5" max="8" width="17" style="48" customWidth="1"/>
    <col min="9" max="9" width="17.53515625" style="48" customWidth="1"/>
    <col min="10" max="10" width="12.84375" style="48" customWidth="1"/>
    <col min="11" max="12" width="8.84375" style="48"/>
    <col min="13" max="13" width="24.4609375" style="48" customWidth="1"/>
    <col min="14" max="16384" width="8.84375" style="48"/>
  </cols>
  <sheetData>
    <row r="1" spans="1:9" hidden="1"/>
    <row r="2" spans="1:9" hidden="1"/>
    <row r="3" spans="1:9" ht="18">
      <c r="A3" s="6" t="s">
        <v>227</v>
      </c>
      <c r="B3" s="47"/>
      <c r="C3" s="47"/>
      <c r="D3" s="47"/>
      <c r="E3" s="47"/>
      <c r="F3" s="47"/>
      <c r="G3" s="4"/>
      <c r="H3" s="4"/>
      <c r="I3" s="4"/>
    </row>
    <row r="4" spans="1:9" ht="18.5" thickBot="1">
      <c r="A4" s="6"/>
      <c r="B4" s="47"/>
      <c r="C4" s="47"/>
      <c r="D4" s="47"/>
      <c r="E4" s="47"/>
      <c r="F4" s="47"/>
      <c r="G4" s="4"/>
      <c r="H4" s="4"/>
      <c r="I4" s="4"/>
    </row>
    <row r="5" spans="1:9" s="49" customFormat="1" ht="24" customHeight="1">
      <c r="A5" s="38"/>
      <c r="B5" s="7">
        <v>1</v>
      </c>
      <c r="C5" s="7">
        <f>B5+1</f>
        <v>2</v>
      </c>
      <c r="D5" s="7">
        <f t="shared" ref="D5:I5" si="0">C5+1</f>
        <v>3</v>
      </c>
      <c r="E5" s="7">
        <f t="shared" si="0"/>
        <v>4</v>
      </c>
      <c r="F5" s="7">
        <f t="shared" si="0"/>
        <v>5</v>
      </c>
      <c r="G5" s="7">
        <f t="shared" si="0"/>
        <v>6</v>
      </c>
      <c r="H5" s="7">
        <f t="shared" si="0"/>
        <v>7</v>
      </c>
      <c r="I5" s="44">
        <f t="shared" si="0"/>
        <v>8</v>
      </c>
    </row>
    <row r="6" spans="1:9" s="126" customFormat="1" ht="106.5" customHeight="1" thickBot="1">
      <c r="A6" s="125"/>
      <c r="B6" s="81" t="s">
        <v>228</v>
      </c>
      <c r="C6" s="81" t="s">
        <v>229</v>
      </c>
      <c r="D6" s="81" t="s">
        <v>230</v>
      </c>
      <c r="E6" s="81" t="s">
        <v>231</v>
      </c>
      <c r="F6" s="81" t="s">
        <v>232</v>
      </c>
      <c r="G6" s="82" t="s">
        <v>233</v>
      </c>
      <c r="H6" s="83" t="s">
        <v>234</v>
      </c>
      <c r="I6" s="84" t="s">
        <v>235</v>
      </c>
    </row>
    <row r="7" spans="1:9">
      <c r="A7" s="45"/>
      <c r="B7" s="113" t="s">
        <v>16</v>
      </c>
      <c r="C7" s="113" t="s">
        <v>16</v>
      </c>
      <c r="D7" s="113" t="s">
        <v>16</v>
      </c>
      <c r="E7" s="113" t="s">
        <v>16</v>
      </c>
      <c r="F7" s="113" t="s">
        <v>16</v>
      </c>
      <c r="G7" s="113" t="s">
        <v>16</v>
      </c>
      <c r="H7" s="113" t="s">
        <v>16</v>
      </c>
      <c r="I7" s="117" t="s">
        <v>16</v>
      </c>
    </row>
    <row r="8" spans="1:9">
      <c r="A8" s="109"/>
      <c r="B8" s="110"/>
      <c r="C8" s="110"/>
      <c r="D8" s="110"/>
      <c r="E8" s="110"/>
      <c r="F8" s="110"/>
      <c r="G8" s="111"/>
      <c r="H8" s="111"/>
      <c r="I8" s="112"/>
    </row>
    <row r="9" spans="1:9" ht="18.75" customHeight="1">
      <c r="A9" s="2" t="s">
        <v>21</v>
      </c>
      <c r="B9" s="57">
        <f>'A1'!E7</f>
        <v>961.60179049999999</v>
      </c>
      <c r="C9" s="57">
        <f>'B1'!R8</f>
        <v>181.33490564164578</v>
      </c>
      <c r="D9" s="57">
        <f>'B2'!AH8</f>
        <v>16.386665999999998</v>
      </c>
      <c r="E9" s="57">
        <f>B9+C9+D9</f>
        <v>1159.3233621416459</v>
      </c>
      <c r="F9" s="57">
        <f>'C'!I9</f>
        <v>102.02609108</v>
      </c>
      <c r="G9" s="96">
        <f>E!F7</f>
        <v>32.265000000000001</v>
      </c>
      <c r="H9" s="96">
        <f>F!G7</f>
        <v>29.489055999999998</v>
      </c>
      <c r="I9" s="61">
        <f>E9+F9+G9+H9</f>
        <v>1323.1035092216459</v>
      </c>
    </row>
    <row r="10" spans="1:9">
      <c r="A10" s="2"/>
      <c r="B10" s="57"/>
      <c r="C10" s="57"/>
      <c r="D10" s="57"/>
      <c r="E10" s="57"/>
      <c r="F10" s="57"/>
      <c r="G10" s="96"/>
      <c r="H10" s="96"/>
      <c r="I10" s="61"/>
    </row>
    <row r="11" spans="1:9" ht="17.25" customHeight="1">
      <c r="A11" s="2" t="s">
        <v>30</v>
      </c>
      <c r="B11" s="57">
        <f>'A1'!E9</f>
        <v>1117.2505185</v>
      </c>
      <c r="C11" s="57">
        <f>'B1'!R10</f>
        <v>320.9445624243296</v>
      </c>
      <c r="D11" s="57">
        <f>'B2'!AH10</f>
        <v>3.1608419999999997</v>
      </c>
      <c r="E11" s="57">
        <f>B11+C11+D11</f>
        <v>1441.3559229243297</v>
      </c>
      <c r="F11" s="57">
        <f>'C'!I11</f>
        <v>133.83191312</v>
      </c>
      <c r="G11" s="96">
        <f>E!F9</f>
        <v>34.457000000000001</v>
      </c>
      <c r="H11" s="96">
        <f>F!G9</f>
        <v>28.264699999999998</v>
      </c>
      <c r="I11" s="61">
        <f>E11+F11+G11+H11</f>
        <v>1637.9095360443298</v>
      </c>
    </row>
    <row r="12" spans="1:9">
      <c r="A12" s="1"/>
      <c r="B12" s="30"/>
      <c r="C12" s="30"/>
      <c r="D12" s="30"/>
      <c r="E12" s="30"/>
      <c r="F12" s="30"/>
      <c r="G12" s="29"/>
      <c r="H12" s="29"/>
      <c r="I12" s="39"/>
    </row>
    <row r="13" spans="1:9" ht="18.75" customHeight="1">
      <c r="A13" s="2" t="s">
        <v>22</v>
      </c>
      <c r="B13" s="57">
        <f>'A1'!E11</f>
        <v>685.30298949999997</v>
      </c>
      <c r="C13" s="57">
        <f>'B1'!R12</f>
        <v>153.2304137940574</v>
      </c>
      <c r="D13" s="57">
        <f>'B2'!AH12</f>
        <v>18.538941999999999</v>
      </c>
      <c r="E13" s="57">
        <f>B13+C13+D13</f>
        <v>857.07234529405741</v>
      </c>
      <c r="F13" s="57">
        <f>'C'!I13</f>
        <v>75.531960919999975</v>
      </c>
      <c r="G13" s="96">
        <f>E!F11</f>
        <v>22.859000000000002</v>
      </c>
      <c r="H13" s="96">
        <f>F!G11</f>
        <v>26.323</v>
      </c>
      <c r="I13" s="61">
        <f>E13+F13+G13+H13</f>
        <v>981.78630621405739</v>
      </c>
    </row>
    <row r="14" spans="1:9">
      <c r="A14" s="2"/>
      <c r="B14" s="57"/>
      <c r="C14" s="57"/>
      <c r="D14" s="57"/>
      <c r="E14" s="57"/>
      <c r="F14" s="57"/>
      <c r="G14" s="96"/>
      <c r="H14" s="96"/>
      <c r="I14" s="61"/>
    </row>
    <row r="15" spans="1:9" s="28" customFormat="1" ht="17.25" customHeight="1">
      <c r="A15" s="2" t="s">
        <v>206</v>
      </c>
      <c r="B15" s="57">
        <f>'A1'!E13</f>
        <v>763.82390028669499</v>
      </c>
      <c r="C15" s="57">
        <f>'B1'!R14</f>
        <v>157.44055059335912</v>
      </c>
      <c r="D15" s="57">
        <f>'B2'!AH14</f>
        <v>2.255561027079894</v>
      </c>
      <c r="E15" s="57">
        <f>B15+C15+D15</f>
        <v>923.52001190713406</v>
      </c>
      <c r="F15" s="57">
        <f>'C'!I15</f>
        <v>78.842173970520818</v>
      </c>
      <c r="G15" s="96">
        <f>E!F13</f>
        <v>27.602162706900003</v>
      </c>
      <c r="H15" s="96">
        <f>F!G13</f>
        <v>21.127640244454394</v>
      </c>
      <c r="I15" s="61">
        <f>E15+F15+G15+H15</f>
        <v>1051.0919888290093</v>
      </c>
    </row>
    <row r="16" spans="1:9" s="28" customFormat="1">
      <c r="A16" s="2"/>
      <c r="B16" s="57"/>
      <c r="C16" s="57"/>
      <c r="D16" s="57"/>
      <c r="E16" s="57"/>
      <c r="F16" s="57"/>
      <c r="G16" s="96"/>
      <c r="H16" s="96"/>
      <c r="I16" s="61"/>
    </row>
    <row r="17" spans="1:9" ht="17.25" customHeight="1">
      <c r="A17" s="2" t="s">
        <v>24</v>
      </c>
      <c r="B17" s="57">
        <f>'A1'!E15</f>
        <v>641.56585999999993</v>
      </c>
      <c r="C17" s="57">
        <f>'B1'!R16</f>
        <v>133.87048192177224</v>
      </c>
      <c r="D17" s="57">
        <f>'B2'!AH16</f>
        <v>1.1784729999999999</v>
      </c>
      <c r="E17" s="57">
        <f>B17+C17+D17</f>
        <v>776.61481492177222</v>
      </c>
      <c r="F17" s="57">
        <f>'C'!I17</f>
        <v>73.081338520000031</v>
      </c>
      <c r="G17" s="96">
        <f>E!F15</f>
        <v>21.496000000000002</v>
      </c>
      <c r="H17" s="96">
        <f>F!G15</f>
        <v>17.852599999999999</v>
      </c>
      <c r="I17" s="61">
        <f>E17+F17+G17+H17</f>
        <v>889.04475344177229</v>
      </c>
    </row>
    <row r="18" spans="1:9">
      <c r="A18" s="1"/>
      <c r="B18" s="30"/>
      <c r="C18" s="30"/>
      <c r="D18" s="30"/>
      <c r="E18" s="30"/>
      <c r="F18" s="30"/>
      <c r="G18" s="29"/>
      <c r="H18" s="29"/>
      <c r="I18" s="39"/>
    </row>
    <row r="19" spans="1:9" s="28" customFormat="1" ht="18.75" customHeight="1">
      <c r="A19" s="2" t="s">
        <v>23</v>
      </c>
      <c r="B19" s="57">
        <f>'A1'!E17</f>
        <v>224.58813099999998</v>
      </c>
      <c r="C19" s="57">
        <f>'B1'!R18</f>
        <v>49.284497222631572</v>
      </c>
      <c r="D19" s="57">
        <f>'B2'!AH18</f>
        <v>4.4729524999999999</v>
      </c>
      <c r="E19" s="57">
        <f>B19+C19+D19</f>
        <v>278.34558072263155</v>
      </c>
      <c r="F19" s="57">
        <f>'C'!I19</f>
        <v>34.100808999999998</v>
      </c>
      <c r="G19" s="96">
        <f>E!F17</f>
        <v>4.923</v>
      </c>
      <c r="H19" s="96">
        <f>F!G17</f>
        <v>6.4135000000000009</v>
      </c>
      <c r="I19" s="61">
        <f>E19+F19+G19+H19</f>
        <v>323.78288972263158</v>
      </c>
    </row>
    <row r="20" spans="1:9" s="28" customFormat="1" ht="18.75" customHeight="1">
      <c r="A20" s="2"/>
      <c r="B20" s="57"/>
      <c r="C20" s="57"/>
      <c r="D20" s="57"/>
      <c r="E20" s="57"/>
      <c r="F20" s="57"/>
      <c r="G20" s="96"/>
      <c r="H20" s="96"/>
      <c r="I20" s="61"/>
    </row>
    <row r="21" spans="1:9" ht="18.75" customHeight="1">
      <c r="A21" s="2" t="s">
        <v>207</v>
      </c>
      <c r="B21" s="57">
        <f>'A1'!E19</f>
        <v>616.92405871330504</v>
      </c>
      <c r="C21" s="57">
        <f>'B1'!R20</f>
        <v>161.10950572841216</v>
      </c>
      <c r="D21" s="57">
        <f>'B2'!AH20</f>
        <v>5.8566769729201065</v>
      </c>
      <c r="E21" s="57">
        <f>B21+C21+D21</f>
        <v>783.89024141463733</v>
      </c>
      <c r="F21" s="57">
        <f>'C'!I21</f>
        <v>65.068777869479192</v>
      </c>
      <c r="G21" s="96">
        <f>E!F19</f>
        <v>21.481837293100003</v>
      </c>
      <c r="H21" s="96">
        <f>F!G19</f>
        <v>21.476351755545615</v>
      </c>
      <c r="I21" s="61">
        <f>E21+F21+G21+H21</f>
        <v>891.91720833276213</v>
      </c>
    </row>
    <row r="22" spans="1:9" ht="16" thickBot="1">
      <c r="A22" s="2"/>
      <c r="B22" s="34"/>
      <c r="C22" s="34"/>
      <c r="D22" s="34"/>
      <c r="E22" s="30"/>
      <c r="F22" s="30"/>
      <c r="G22" s="65"/>
      <c r="H22" s="65"/>
      <c r="I22" s="35"/>
    </row>
    <row r="23" spans="1:9" s="28" customFormat="1" ht="27" customHeight="1" thickBot="1">
      <c r="A23" s="32" t="s">
        <v>0</v>
      </c>
      <c r="B23" s="59">
        <f t="shared" ref="B23:I23" si="1">B21+B9+B11+B13+B15+B17+B19</f>
        <v>5011.0572484999993</v>
      </c>
      <c r="C23" s="59">
        <f t="shared" si="1"/>
        <v>1157.214917326208</v>
      </c>
      <c r="D23" s="59">
        <f t="shared" si="1"/>
        <v>51.850113499999985</v>
      </c>
      <c r="E23" s="59">
        <f t="shared" si="1"/>
        <v>6220.1222793262086</v>
      </c>
      <c r="F23" s="59">
        <f t="shared" si="1"/>
        <v>562.48306447999994</v>
      </c>
      <c r="G23" s="59">
        <f t="shared" si="1"/>
        <v>165.08400000000003</v>
      </c>
      <c r="H23" s="59">
        <f t="shared" si="1"/>
        <v>150.94684800000002</v>
      </c>
      <c r="I23" s="59">
        <f t="shared" si="1"/>
        <v>7098.6361918062094</v>
      </c>
    </row>
    <row r="26" spans="1:9">
      <c r="B26" s="53"/>
    </row>
  </sheetData>
  <phoneticPr fontId="11" type="noConversion"/>
  <printOptions horizontalCentered="1"/>
  <pageMargins left="0.78740157480314965" right="0.74803149606299213" top="0.98425196850393704" bottom="0.98425196850393704" header="0.51181102362204722" footer="0.51181102362204722"/>
  <pageSetup paperSize="9" scale="56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indexed="12"/>
    <pageSetUpPr fitToPage="1"/>
  </sheetPr>
  <dimension ref="A1:F23"/>
  <sheetViews>
    <sheetView showGridLines="0" zoomScaleNormal="100" workbookViewId="0">
      <selection activeCell="E5" sqref="B5:E5"/>
    </sheetView>
  </sheetViews>
  <sheetFormatPr defaultColWidth="8.84375" defaultRowHeight="15.5"/>
  <cols>
    <col min="1" max="1" width="39.69140625" style="16" customWidth="1"/>
    <col min="2" max="2" width="20.84375" style="16" customWidth="1"/>
    <col min="3" max="3" width="16.53515625" style="16" customWidth="1"/>
    <col min="4" max="4" width="18" style="16" customWidth="1"/>
    <col min="5" max="5" width="19" style="106" customWidth="1"/>
    <col min="6" max="6" width="10.07421875" style="16" customWidth="1"/>
    <col min="7" max="16384" width="8.84375" style="16"/>
  </cols>
  <sheetData>
    <row r="1" spans="1:6" s="10" customFormat="1" ht="27.75" customHeight="1">
      <c r="A1" s="11" t="s">
        <v>236</v>
      </c>
      <c r="B1" s="400"/>
      <c r="C1" s="400"/>
      <c r="D1" s="400"/>
      <c r="E1" s="401"/>
    </row>
    <row r="2" spans="1:6" s="10" customFormat="1" ht="13.5" customHeight="1" thickBot="1">
      <c r="A2" s="11"/>
      <c r="B2" s="400"/>
      <c r="C2" s="400"/>
      <c r="D2" s="400"/>
      <c r="E2" s="105"/>
    </row>
    <row r="3" spans="1:6" s="13" customFormat="1">
      <c r="A3" s="12"/>
      <c r="B3" s="50">
        <v>1</v>
      </c>
      <c r="C3" s="50">
        <f>B3+1</f>
        <v>2</v>
      </c>
      <c r="D3" s="50">
        <f>C3+1</f>
        <v>3</v>
      </c>
      <c r="E3" s="235">
        <f>D3+1</f>
        <v>4</v>
      </c>
    </row>
    <row r="4" spans="1:6" s="14" customFormat="1" ht="129" customHeight="1" thickBot="1">
      <c r="A4" s="43"/>
      <c r="B4" s="412" t="s">
        <v>197</v>
      </c>
      <c r="C4" s="413" t="s">
        <v>324</v>
      </c>
      <c r="D4" s="414" t="s">
        <v>325</v>
      </c>
      <c r="E4" s="415" t="s">
        <v>228</v>
      </c>
    </row>
    <row r="5" spans="1:6" s="13" customFormat="1" ht="15" customHeight="1">
      <c r="A5" s="402" t="s">
        <v>7</v>
      </c>
      <c r="B5" s="420" t="s">
        <v>16</v>
      </c>
      <c r="C5" s="420" t="s">
        <v>16</v>
      </c>
      <c r="D5" s="420" t="s">
        <v>16</v>
      </c>
      <c r="E5" s="421" t="s">
        <v>16</v>
      </c>
    </row>
    <row r="6" spans="1:6" s="13" customFormat="1" ht="15" customHeight="1">
      <c r="A6" s="403"/>
      <c r="B6" s="404"/>
      <c r="C6" s="405"/>
      <c r="D6" s="406"/>
      <c r="E6" s="407"/>
    </row>
    <row r="7" spans="1:6">
      <c r="A7" s="123" t="s">
        <v>21</v>
      </c>
      <c r="B7" s="57">
        <v>936.90111549999995</v>
      </c>
      <c r="C7" s="57">
        <f>+'A2'!M7</f>
        <v>2.1384910000000001</v>
      </c>
      <c r="D7" s="96">
        <f>'A3'!L7</f>
        <v>22.562183999999998</v>
      </c>
      <c r="E7" s="120">
        <f>+B7+C7+D7</f>
        <v>961.60179049999999</v>
      </c>
      <c r="F7" s="15"/>
    </row>
    <row r="8" spans="1:6">
      <c r="A8" s="124"/>
      <c r="B8" s="57"/>
      <c r="C8" s="57"/>
      <c r="D8" s="96"/>
      <c r="E8" s="119"/>
      <c r="F8" s="15"/>
    </row>
    <row r="9" spans="1:6">
      <c r="A9" s="2" t="s">
        <v>30</v>
      </c>
      <c r="B9" s="57">
        <v>1090.9195354999999</v>
      </c>
      <c r="C9" s="57">
        <f>+'A2'!M9</f>
        <v>-0.40443399999999974</v>
      </c>
      <c r="D9" s="96">
        <f>'A3'!L9</f>
        <v>26.735416999999998</v>
      </c>
      <c r="E9" s="120">
        <f>+B9+C9+D9</f>
        <v>1117.2505185</v>
      </c>
      <c r="F9" s="15"/>
    </row>
    <row r="10" spans="1:6">
      <c r="A10" s="124"/>
      <c r="B10" s="57"/>
      <c r="C10" s="57"/>
      <c r="D10" s="96"/>
      <c r="E10" s="119"/>
      <c r="F10" s="15"/>
    </row>
    <row r="11" spans="1:6">
      <c r="A11" s="2" t="s">
        <v>22</v>
      </c>
      <c r="B11" s="57">
        <v>667.11465750000002</v>
      </c>
      <c r="C11" s="57">
        <f>+'A2'!M11</f>
        <v>1.9268720000000004</v>
      </c>
      <c r="D11" s="96">
        <f>'A3'!L11</f>
        <v>16.26146</v>
      </c>
      <c r="E11" s="120">
        <f>+B11+C11+D11</f>
        <v>685.30298949999997</v>
      </c>
      <c r="F11" s="15"/>
    </row>
    <row r="12" spans="1:6">
      <c r="A12" s="2"/>
      <c r="B12" s="57"/>
      <c r="C12" s="57"/>
      <c r="D12" s="96"/>
      <c r="E12" s="119"/>
      <c r="F12" s="15"/>
    </row>
    <row r="13" spans="1:6" s="18" customFormat="1">
      <c r="A13" s="2" t="s">
        <v>206</v>
      </c>
      <c r="B13" s="57">
        <v>744.07731728669501</v>
      </c>
      <c r="C13" s="57">
        <f>+'A2'!M13</f>
        <v>1.0950879999999998</v>
      </c>
      <c r="D13" s="96">
        <f>'A3'!L13</f>
        <v>18.651495000000001</v>
      </c>
      <c r="E13" s="120">
        <f>+B13+C13+D13</f>
        <v>763.82390028669499</v>
      </c>
      <c r="F13" s="17"/>
    </row>
    <row r="14" spans="1:6">
      <c r="A14" s="1"/>
      <c r="B14" s="21"/>
      <c r="C14" s="21"/>
      <c r="D14" s="164"/>
      <c r="E14" s="119"/>
      <c r="F14" s="15"/>
    </row>
    <row r="15" spans="1:6" s="18" customFormat="1">
      <c r="A15" s="2" t="s">
        <v>24</v>
      </c>
      <c r="B15" s="57">
        <v>624.87525299999993</v>
      </c>
      <c r="C15" s="57">
        <f>+'A2'!M15</f>
        <v>1.3027400000000005</v>
      </c>
      <c r="D15" s="96">
        <f>'A3'!L15</f>
        <v>15.387867</v>
      </c>
      <c r="E15" s="120">
        <f>+B15+C15+D15</f>
        <v>641.56585999999993</v>
      </c>
      <c r="F15" s="17"/>
    </row>
    <row r="16" spans="1:6" s="18" customFormat="1">
      <c r="A16" s="2"/>
      <c r="B16" s="57"/>
      <c r="C16" s="57"/>
      <c r="D16" s="96"/>
      <c r="E16" s="121"/>
      <c r="F16" s="17"/>
    </row>
    <row r="17" spans="1:6">
      <c r="A17" s="2" t="s">
        <v>23</v>
      </c>
      <c r="B17" s="21">
        <v>218.89416899999998</v>
      </c>
      <c r="C17" s="21">
        <f>+'A2'!M17</f>
        <v>0.54606699999999986</v>
      </c>
      <c r="D17" s="96">
        <f>'A3'!L17</f>
        <v>5.1478950000000001</v>
      </c>
      <c r="E17" s="120">
        <f>+B17+C17+D17</f>
        <v>224.58813099999998</v>
      </c>
      <c r="F17" s="15"/>
    </row>
    <row r="18" spans="1:6">
      <c r="A18" s="2"/>
      <c r="B18" s="21"/>
      <c r="C18" s="21"/>
      <c r="D18" s="144"/>
      <c r="E18" s="338"/>
      <c r="F18" s="15"/>
    </row>
    <row r="19" spans="1:6">
      <c r="A19" s="2" t="s">
        <v>207</v>
      </c>
      <c r="B19" s="57">
        <v>599.76010671330505</v>
      </c>
      <c r="C19" s="57">
        <f>+'A2'!M19</f>
        <v>1.7510719999999997</v>
      </c>
      <c r="D19" s="96">
        <f>'A3'!L19</f>
        <v>15.412880000000001</v>
      </c>
      <c r="E19" s="120">
        <f>+B19+C19+D19</f>
        <v>616.92405871330504</v>
      </c>
      <c r="F19" s="15"/>
    </row>
    <row r="20" spans="1:6" s="18" customFormat="1" ht="16" thickBot="1">
      <c r="A20" s="2"/>
      <c r="B20" s="58"/>
      <c r="C20" s="58"/>
      <c r="D20" s="201"/>
      <c r="E20" s="122"/>
      <c r="F20" s="17"/>
    </row>
    <row r="21" spans="1:6" s="18" customFormat="1" ht="16" thickBot="1">
      <c r="A21" s="19" t="s">
        <v>0</v>
      </c>
      <c r="B21" s="54">
        <f>+B9+B19+B15+B17+B13+B11+B7</f>
        <v>4882.5421544999999</v>
      </c>
      <c r="C21" s="54">
        <f>+C9+C19+C15+C17+C13+C11+C7</f>
        <v>8.3558960000000013</v>
      </c>
      <c r="D21" s="54">
        <f>+D9+D19+D15+D17+D13+D11+D7</f>
        <v>120.159198</v>
      </c>
      <c r="E21" s="269">
        <f>+E9+E19+E15+E17+E13+E11+E7</f>
        <v>5011.0572485000002</v>
      </c>
      <c r="F21" s="17"/>
    </row>
    <row r="22" spans="1:6">
      <c r="A22" s="408"/>
      <c r="B22" s="409"/>
      <c r="C22" s="410"/>
      <c r="D22" s="410"/>
      <c r="E22" s="411"/>
    </row>
    <row r="23" spans="1:6">
      <c r="B23" s="249"/>
      <c r="E23" s="143"/>
    </row>
  </sheetData>
  <customSheetViews>
    <customSheetView guid="{92B97691-A213-481E-9B20-3BF43CB76868}" scale="60" showPageBreaks="1" showGridLines="0" fitToPage="1" showRuler="0">
      <selection activeCell="D34" sqref="D34"/>
      <pageMargins left="0.74803149606299213" right="0.74803149606299213" top="0.98425196850393704" bottom="0.98425196850393704" header="0.51181102362204722" footer="0.51181102362204722"/>
      <pageSetup paperSize="9" scale="64" orientation="landscape" horizontalDpi="0" r:id="rId1"/>
      <headerFooter alignWithMargins="0">
        <oddHeader>&amp;CDRAFT - Final Changes</oddHeader>
        <oddFooter>&amp;L&amp;F&amp;R&amp;D &amp;T</oddFooter>
      </headerFooter>
    </customSheetView>
  </customSheetViews>
  <phoneticPr fontId="11" type="noConversion"/>
  <pageMargins left="0.74803149606299213" right="0.74803149606299213" top="0.98425196850393704" bottom="0.98425196850393704" header="0.51181102362204722" footer="0.51181102362204722"/>
  <pageSetup paperSize="9" scale="87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indexed="12"/>
    <pageSetUpPr fitToPage="1"/>
  </sheetPr>
  <dimension ref="A1:O27"/>
  <sheetViews>
    <sheetView zoomScaleNormal="100" workbookViewId="0">
      <pane xSplit="1" ySplit="6" topLeftCell="B11" activePane="bottomRight" state="frozen"/>
      <selection activeCell="A40" sqref="A40:G40"/>
      <selection pane="topRight" activeCell="A40" sqref="A40:G40"/>
      <selection pane="bottomLeft" activeCell="A40" sqref="A40:G40"/>
      <selection pane="bottomRight" activeCell="B5" sqref="B5:M5"/>
    </sheetView>
  </sheetViews>
  <sheetFormatPr defaultColWidth="8.84375" defaultRowHeight="15.5"/>
  <cols>
    <col min="1" max="1" width="28.921875" style="24" customWidth="1"/>
    <col min="2" max="2" width="11.23046875" style="24" customWidth="1"/>
    <col min="3" max="3" width="14.3828125" style="24" customWidth="1"/>
    <col min="4" max="4" width="13.23046875" style="24" customWidth="1"/>
    <col min="5" max="5" width="12.4609375" style="24" customWidth="1"/>
    <col min="6" max="6" width="13.921875" style="24" customWidth="1"/>
    <col min="7" max="7" width="13.15234375" style="24" customWidth="1"/>
    <col min="8" max="8" width="13.53515625" style="24" customWidth="1"/>
    <col min="9" max="9" width="15.4609375" style="24" customWidth="1"/>
    <col min="10" max="10" width="12.23046875" style="24" customWidth="1"/>
    <col min="11" max="11" width="15.69140625" style="24" customWidth="1"/>
    <col min="12" max="12" width="12.921875" style="24" customWidth="1"/>
    <col min="13" max="14" width="12.69140625" style="24" customWidth="1"/>
    <col min="15" max="15" width="18" style="24" bestFit="1" customWidth="1"/>
    <col min="16" max="16384" width="8.84375" style="24"/>
  </cols>
  <sheetData>
    <row r="1" spans="1:14" s="8" customFormat="1">
      <c r="A1" s="522" t="s">
        <v>237</v>
      </c>
      <c r="B1" s="522"/>
      <c r="C1" s="522"/>
      <c r="D1" s="522"/>
      <c r="E1" s="522"/>
      <c r="F1" s="522"/>
      <c r="G1" s="522"/>
      <c r="H1" s="522"/>
      <c r="I1" s="522"/>
      <c r="J1" s="522"/>
      <c r="K1" s="522"/>
      <c r="L1" s="522"/>
      <c r="M1" s="522"/>
      <c r="N1" s="22"/>
    </row>
    <row r="2" spans="1:14" s="8" customFormat="1" ht="16" thickBot="1">
      <c r="N2" s="22"/>
    </row>
    <row r="3" spans="1:14" s="23" customFormat="1" ht="16.5" customHeight="1">
      <c r="A3" s="52"/>
      <c r="B3" s="356">
        <v>1</v>
      </c>
      <c r="C3" s="356">
        <f t="shared" ref="C3:I3" si="0">B3+1</f>
        <v>2</v>
      </c>
      <c r="D3" s="356">
        <f t="shared" si="0"/>
        <v>3</v>
      </c>
      <c r="E3" s="356">
        <f t="shared" si="0"/>
        <v>4</v>
      </c>
      <c r="F3" s="356">
        <f t="shared" si="0"/>
        <v>5</v>
      </c>
      <c r="G3" s="356">
        <f t="shared" si="0"/>
        <v>6</v>
      </c>
      <c r="H3" s="356">
        <f t="shared" si="0"/>
        <v>7</v>
      </c>
      <c r="I3" s="356">
        <f t="shared" si="0"/>
        <v>8</v>
      </c>
      <c r="J3" s="356">
        <f>I3+1</f>
        <v>9</v>
      </c>
      <c r="K3" s="356">
        <f>J3+1</f>
        <v>10</v>
      </c>
      <c r="L3" s="356">
        <f>K3+1</f>
        <v>11</v>
      </c>
      <c r="M3" s="356">
        <f>L3+1</f>
        <v>12</v>
      </c>
    </row>
    <row r="4" spans="1:14" ht="148.75" customHeight="1" thickBot="1">
      <c r="A4" s="43"/>
      <c r="B4" s="416" t="s">
        <v>263</v>
      </c>
      <c r="C4" s="416" t="s">
        <v>266</v>
      </c>
      <c r="D4" s="416" t="s">
        <v>267</v>
      </c>
      <c r="E4" s="416" t="s">
        <v>284</v>
      </c>
      <c r="F4" s="416" t="s">
        <v>268</v>
      </c>
      <c r="G4" s="416" t="s">
        <v>269</v>
      </c>
      <c r="H4" s="416" t="s">
        <v>277</v>
      </c>
      <c r="I4" s="416" t="s">
        <v>292</v>
      </c>
      <c r="J4" s="416" t="s">
        <v>220</v>
      </c>
      <c r="K4" s="416" t="s">
        <v>184</v>
      </c>
      <c r="L4" s="416" t="s">
        <v>314</v>
      </c>
      <c r="M4" s="417" t="s">
        <v>14</v>
      </c>
    </row>
    <row r="5" spans="1:14" s="399" customFormat="1" ht="18.75" customHeight="1">
      <c r="A5" s="398" t="s">
        <v>7</v>
      </c>
      <c r="B5" s="418" t="s">
        <v>16</v>
      </c>
      <c r="C5" s="418" t="s">
        <v>16</v>
      </c>
      <c r="D5" s="418" t="s">
        <v>16</v>
      </c>
      <c r="E5" s="418"/>
      <c r="F5" s="418" t="s">
        <v>16</v>
      </c>
      <c r="G5" s="418" t="s">
        <v>16</v>
      </c>
      <c r="H5" s="418" t="s">
        <v>16</v>
      </c>
      <c r="I5" s="418" t="s">
        <v>16</v>
      </c>
      <c r="J5" s="418" t="s">
        <v>16</v>
      </c>
      <c r="K5" s="418" t="s">
        <v>16</v>
      </c>
      <c r="L5" s="418"/>
      <c r="M5" s="419" t="s">
        <v>16</v>
      </c>
    </row>
    <row r="6" spans="1:14" s="28" customFormat="1">
      <c r="A6" s="26"/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86"/>
    </row>
    <row r="7" spans="1:14" s="28" customFormat="1">
      <c r="A7" s="2" t="s">
        <v>21</v>
      </c>
      <c r="B7" s="146">
        <v>5.7689999999999998E-3</v>
      </c>
      <c r="C7" s="146"/>
      <c r="D7" s="146">
        <v>1.7897E-2</v>
      </c>
      <c r="E7" s="146">
        <v>8.4000000000000005E-2</v>
      </c>
      <c r="F7" s="146"/>
      <c r="G7" s="146"/>
      <c r="H7" s="146">
        <f>0.078595+0.10909</f>
        <v>0.18768499999999999</v>
      </c>
      <c r="I7" s="146">
        <f>3.205504+0.162304</f>
        <v>3.3678080000000001</v>
      </c>
      <c r="J7" s="146">
        <f>'Table 3'!BW8</f>
        <v>-3.6667999999999701E-2</v>
      </c>
      <c r="K7" s="146">
        <v>-0.224</v>
      </c>
      <c r="L7" s="146">
        <v>-1.264</v>
      </c>
      <c r="M7" s="27">
        <f>SUM(B7:L7)</f>
        <v>2.1384910000000001</v>
      </c>
    </row>
    <row r="8" spans="1:14" s="28" customFormat="1">
      <c r="A8" s="2"/>
      <c r="B8" s="147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27"/>
    </row>
    <row r="9" spans="1:14">
      <c r="A9" s="2" t="s">
        <v>30</v>
      </c>
      <c r="B9" s="146">
        <v>6.9849999999999999E-3</v>
      </c>
      <c r="C9" s="146">
        <v>0.06</v>
      </c>
      <c r="D9" s="146">
        <v>1.1702000000000001E-2</v>
      </c>
      <c r="E9" s="146"/>
      <c r="F9" s="146">
        <v>0.16</v>
      </c>
      <c r="G9" s="146"/>
      <c r="H9" s="146">
        <f>0.506711+0.615168</f>
        <v>1.1218790000000001</v>
      </c>
      <c r="I9" s="146">
        <v>0</v>
      </c>
      <c r="J9" s="146">
        <f>'Table 3'!BW10</f>
        <v>0</v>
      </c>
      <c r="K9" s="146">
        <v>-0.25</v>
      </c>
      <c r="L9" s="146">
        <v>-1.5149999999999999</v>
      </c>
      <c r="M9" s="27">
        <f>SUM(B9:L9)</f>
        <v>-0.40443399999999974</v>
      </c>
    </row>
    <row r="10" spans="1:14">
      <c r="A10" s="1"/>
      <c r="B10" s="149"/>
      <c r="C10" s="149"/>
      <c r="D10" s="149"/>
      <c r="E10" s="149"/>
      <c r="F10" s="149"/>
      <c r="G10" s="149"/>
      <c r="H10" s="149"/>
      <c r="I10" s="149"/>
      <c r="J10" s="149"/>
      <c r="K10" s="149"/>
      <c r="L10" s="149"/>
      <c r="M10" s="31"/>
    </row>
    <row r="11" spans="1:14">
      <c r="A11" s="2" t="s">
        <v>22</v>
      </c>
      <c r="B11" s="147">
        <v>5.3410000000000003E-3</v>
      </c>
      <c r="C11" s="147">
        <v>7.5999999999999998E-2</v>
      </c>
      <c r="D11" s="147">
        <v>1.1767E-2</v>
      </c>
      <c r="E11" s="147">
        <v>0.13</v>
      </c>
      <c r="F11" s="147"/>
      <c r="G11" s="147">
        <v>-6.6937999999999998E-2</v>
      </c>
      <c r="H11" s="147">
        <v>7.3445999999999997E-2</v>
      </c>
      <c r="I11" s="147">
        <f>2.625328+0.132928</f>
        <v>2.7582560000000003</v>
      </c>
      <c r="J11" s="147">
        <f>'Table 3'!BW12</f>
        <v>0</v>
      </c>
      <c r="K11" s="147">
        <v>-0.16900000000000001</v>
      </c>
      <c r="L11" s="147">
        <v>-0.89200000000000002</v>
      </c>
      <c r="M11" s="27">
        <f>SUM(B11:L11)</f>
        <v>1.9268720000000004</v>
      </c>
    </row>
    <row r="12" spans="1:14">
      <c r="A12" s="2"/>
      <c r="B12" s="147"/>
      <c r="C12" s="147"/>
      <c r="D12" s="147"/>
      <c r="E12" s="147"/>
      <c r="F12" s="147"/>
      <c r="G12" s="147"/>
      <c r="H12" s="147"/>
      <c r="I12" s="147"/>
      <c r="J12" s="147"/>
      <c r="K12" s="147"/>
      <c r="L12" s="147"/>
      <c r="M12" s="27"/>
    </row>
    <row r="13" spans="1:14" s="28" customFormat="1">
      <c r="A13" s="2" t="s">
        <v>206</v>
      </c>
      <c r="B13" s="146">
        <v>-2.6669000000000002E-2</v>
      </c>
      <c r="C13" s="146">
        <v>5.6000000000000001E-2</v>
      </c>
      <c r="D13" s="146">
        <v>5.2960000000000004E-3</v>
      </c>
      <c r="E13" s="146"/>
      <c r="F13" s="146"/>
      <c r="G13" s="146"/>
      <c r="H13" s="146">
        <v>6.8204000000000001E-2</v>
      </c>
      <c r="I13" s="146">
        <f>2.177872+0.110272</f>
        <v>2.288144</v>
      </c>
      <c r="J13" s="146">
        <f>'Table 3'!BW14</f>
        <v>-7.688700000000015E-2</v>
      </c>
      <c r="K13" s="146">
        <v>-0.189</v>
      </c>
      <c r="L13" s="146">
        <v>-1.03</v>
      </c>
      <c r="M13" s="27">
        <f>SUM(B13:L13)</f>
        <v>1.0950879999999998</v>
      </c>
    </row>
    <row r="14" spans="1:14" s="28" customFormat="1">
      <c r="A14" s="2"/>
      <c r="B14" s="147"/>
      <c r="C14" s="147"/>
      <c r="D14" s="147"/>
      <c r="E14" s="147"/>
      <c r="F14" s="147"/>
      <c r="G14" s="147"/>
      <c r="H14" s="147"/>
      <c r="I14" s="147"/>
      <c r="J14" s="147"/>
      <c r="K14" s="147"/>
      <c r="L14" s="147"/>
      <c r="M14" s="27"/>
    </row>
    <row r="15" spans="1:14" s="28" customFormat="1">
      <c r="A15" s="2" t="s">
        <v>24</v>
      </c>
      <c r="B15" s="146">
        <v>3.4169999999999999E-3</v>
      </c>
      <c r="C15" s="146"/>
      <c r="D15" s="146">
        <v>6.9629999999999996E-3</v>
      </c>
      <c r="E15" s="146"/>
      <c r="F15" s="146"/>
      <c r="G15" s="146"/>
      <c r="H15" s="146">
        <v>6.232E-2</v>
      </c>
      <c r="I15" s="146">
        <f>2.12352+0.10752</f>
        <v>2.2310400000000001</v>
      </c>
      <c r="J15" s="146">
        <f>'Table 3'!BW16</f>
        <v>0</v>
      </c>
      <c r="K15" s="146">
        <v>-0.14299999999999999</v>
      </c>
      <c r="L15" s="146">
        <v>-0.85799999999999998</v>
      </c>
      <c r="M15" s="27">
        <f>SUM(B15:L15)</f>
        <v>1.3027400000000005</v>
      </c>
    </row>
    <row r="16" spans="1:14">
      <c r="A16" s="1"/>
      <c r="B16" s="149"/>
      <c r="C16" s="149"/>
      <c r="D16" s="149"/>
      <c r="E16" s="149"/>
      <c r="F16" s="149"/>
      <c r="G16" s="149"/>
      <c r="H16" s="149"/>
      <c r="I16" s="149"/>
      <c r="J16" s="149"/>
      <c r="K16" s="149"/>
      <c r="L16" s="149"/>
      <c r="M16" s="31"/>
    </row>
    <row r="17" spans="1:15" s="28" customFormat="1" ht="18" customHeight="1">
      <c r="A17" s="2" t="s">
        <v>23</v>
      </c>
      <c r="B17" s="146">
        <v>1.5499999999999999E-3</v>
      </c>
      <c r="C17" s="146"/>
      <c r="D17" s="146">
        <v>2.1410000000000001E-3</v>
      </c>
      <c r="E17" s="146">
        <v>0.11</v>
      </c>
      <c r="F17" s="146"/>
      <c r="G17" s="146"/>
      <c r="H17" s="146">
        <f>0.47049+0.119966</f>
        <v>0.59045599999999998</v>
      </c>
      <c r="I17" s="146">
        <f>0.17696+0.00896</f>
        <v>0.18592</v>
      </c>
      <c r="J17" s="146">
        <f>'Table 3'!BW18</f>
        <v>0</v>
      </c>
      <c r="K17" s="146">
        <v>-4.7E-2</v>
      </c>
      <c r="L17" s="146">
        <v>-0.29699999999999999</v>
      </c>
      <c r="M17" s="27">
        <f>SUM(B17:L17)</f>
        <v>0.54606699999999986</v>
      </c>
    </row>
    <row r="18" spans="1:15" s="28" customFormat="1">
      <c r="A18" s="2"/>
      <c r="B18" s="147"/>
      <c r="C18" s="147"/>
      <c r="D18" s="147"/>
      <c r="E18" s="147"/>
      <c r="F18" s="147"/>
      <c r="G18" s="147"/>
      <c r="H18" s="147"/>
      <c r="I18" s="147"/>
      <c r="J18" s="147"/>
      <c r="K18" s="147"/>
      <c r="L18" s="147"/>
      <c r="M18" s="339"/>
    </row>
    <row r="19" spans="1:15" s="28" customFormat="1">
      <c r="A19" s="2" t="s">
        <v>207</v>
      </c>
      <c r="B19" s="146">
        <v>3.607E-3</v>
      </c>
      <c r="C19" s="146">
        <v>0.16400000000000001</v>
      </c>
      <c r="D19" s="146">
        <v>1.1669000000000001E-2</v>
      </c>
      <c r="E19" s="146"/>
      <c r="F19" s="146"/>
      <c r="G19" s="146">
        <v>6.6937999999999998E-2</v>
      </c>
      <c r="H19" s="146">
        <f>0.060026</f>
        <v>6.0026000000000003E-2</v>
      </c>
      <c r="I19" s="146">
        <f>2.330816+0.118016</f>
        <v>2.4488319999999999</v>
      </c>
      <c r="J19" s="146">
        <f>'Table 3'!BW20</f>
        <v>0</v>
      </c>
      <c r="K19" s="146">
        <v>-0.152</v>
      </c>
      <c r="L19" s="146">
        <v>-0.85199999999999998</v>
      </c>
      <c r="M19" s="27">
        <f>SUM(B19:L19)</f>
        <v>1.7510719999999997</v>
      </c>
    </row>
    <row r="20" spans="1:15" ht="16" thickBot="1">
      <c r="A20" s="2"/>
      <c r="B20" s="104"/>
      <c r="C20" s="104"/>
      <c r="D20" s="104"/>
      <c r="E20" s="104"/>
      <c r="F20" s="104"/>
      <c r="G20" s="104"/>
      <c r="H20" s="104"/>
      <c r="I20" s="104"/>
      <c r="J20" s="104"/>
      <c r="K20" s="104"/>
      <c r="L20" s="104"/>
      <c r="M20" s="85"/>
    </row>
    <row r="21" spans="1:15" ht="16" thickBot="1">
      <c r="A21" s="32" t="s">
        <v>0</v>
      </c>
      <c r="B21" s="59">
        <f t="shared" ref="B21:M21" si="1">+B19+B7+B9+B11+B13+B15+B17</f>
        <v>-2.8189256484623115E-18</v>
      </c>
      <c r="C21" s="301">
        <f t="shared" si="1"/>
        <v>0.35599999999999998</v>
      </c>
      <c r="D21" s="301">
        <f t="shared" si="1"/>
        <v>6.7435000000000009E-2</v>
      </c>
      <c r="E21" s="301">
        <f t="shared" si="1"/>
        <v>0.32400000000000001</v>
      </c>
      <c r="F21" s="59">
        <f t="shared" si="1"/>
        <v>0.16</v>
      </c>
      <c r="G21" s="59">
        <f t="shared" si="1"/>
        <v>0</v>
      </c>
      <c r="H21" s="59">
        <f t="shared" si="1"/>
        <v>2.1640159999999997</v>
      </c>
      <c r="I21" s="59">
        <f t="shared" si="1"/>
        <v>13.279999999999998</v>
      </c>
      <c r="J21" s="59">
        <f t="shared" si="1"/>
        <v>-0.11355499999999985</v>
      </c>
      <c r="K21" s="59">
        <f t="shared" si="1"/>
        <v>-1.1739999999999999</v>
      </c>
      <c r="L21" s="59">
        <f t="shared" si="1"/>
        <v>-6.7080000000000002</v>
      </c>
      <c r="M21" s="118">
        <f t="shared" si="1"/>
        <v>8.3558960000000013</v>
      </c>
    </row>
    <row r="22" spans="1:15"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O22" s="8"/>
    </row>
    <row r="23" spans="1:15" ht="77.5">
      <c r="I23" s="384" t="s">
        <v>293</v>
      </c>
    </row>
    <row r="24" spans="1:15" ht="31">
      <c r="B24" s="24" t="s">
        <v>286</v>
      </c>
      <c r="C24" s="24" t="s">
        <v>286</v>
      </c>
      <c r="D24" s="24" t="s">
        <v>286</v>
      </c>
      <c r="E24" s="24" t="s">
        <v>286</v>
      </c>
      <c r="F24" s="24" t="s">
        <v>294</v>
      </c>
      <c r="G24" s="24" t="s">
        <v>286</v>
      </c>
      <c r="H24" s="24" t="s">
        <v>286</v>
      </c>
      <c r="I24" s="24" t="s">
        <v>286</v>
      </c>
      <c r="J24" s="286" t="s">
        <v>304</v>
      </c>
      <c r="K24" s="24" t="s">
        <v>286</v>
      </c>
    </row>
    <row r="25" spans="1:15">
      <c r="K25" s="298">
        <f>SUM(K21:L21)</f>
        <v>-7.8819999999999997</v>
      </c>
      <c r="L25" s="298"/>
    </row>
    <row r="26" spans="1:15" ht="138" customHeight="1">
      <c r="K26" s="286" t="s">
        <v>289</v>
      </c>
      <c r="L26" s="387" t="s">
        <v>320</v>
      </c>
    </row>
    <row r="27" spans="1:15" ht="57.75" customHeight="1">
      <c r="M27" s="286"/>
    </row>
  </sheetData>
  <mergeCells count="1">
    <mergeCell ref="A1:M1"/>
  </mergeCells>
  <phoneticPr fontId="11" type="noConversion"/>
  <printOptions horizontalCentered="1"/>
  <pageMargins left="0.77" right="0.74803149606299213" top="0.98425196850393704" bottom="0.98425196850393704" header="0.51181102362204722" footer="0.51181102362204722"/>
  <pageSetup paperSize="9" scale="64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  <pageSetUpPr fitToPage="1"/>
  </sheetPr>
  <dimension ref="A1:N24"/>
  <sheetViews>
    <sheetView zoomScaleNormal="100" workbookViewId="0">
      <selection activeCell="G26" sqref="G26"/>
    </sheetView>
  </sheetViews>
  <sheetFormatPr defaultColWidth="8.84375" defaultRowHeight="15.5"/>
  <cols>
    <col min="1" max="1" width="40.53515625" style="24" customWidth="1"/>
    <col min="2" max="2" width="12.84375" style="24" customWidth="1"/>
    <col min="3" max="7" width="11.23046875" style="24" customWidth="1"/>
    <col min="8" max="8" width="12.3828125" style="24" customWidth="1"/>
    <col min="9" max="11" width="11.23046875" style="24" customWidth="1"/>
    <col min="12" max="12" width="12.69140625" style="24" customWidth="1"/>
    <col min="13" max="13" width="18" style="24" bestFit="1" customWidth="1"/>
    <col min="14" max="14" width="11" style="24" bestFit="1" customWidth="1"/>
    <col min="15" max="16384" width="8.84375" style="24"/>
  </cols>
  <sheetData>
    <row r="1" spans="1:14" s="8" customFormat="1">
      <c r="A1" s="5" t="s">
        <v>238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4" s="8" customFormat="1" ht="16" thickBot="1"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4" s="23" customFormat="1" ht="16.5" customHeight="1">
      <c r="A3" s="52"/>
      <c r="B3" s="357">
        <v>1</v>
      </c>
      <c r="C3" s="357">
        <f>B3+1</f>
        <v>2</v>
      </c>
      <c r="D3" s="357">
        <f t="shared" ref="D3:L3" si="0">C3+1</f>
        <v>3</v>
      </c>
      <c r="E3" s="357">
        <f t="shared" si="0"/>
        <v>4</v>
      </c>
      <c r="F3" s="357">
        <f t="shared" si="0"/>
        <v>5</v>
      </c>
      <c r="G3" s="357">
        <f t="shared" si="0"/>
        <v>6</v>
      </c>
      <c r="H3" s="357">
        <f t="shared" si="0"/>
        <v>7</v>
      </c>
      <c r="I3" s="357">
        <f t="shared" si="0"/>
        <v>8</v>
      </c>
      <c r="J3" s="357">
        <f t="shared" si="0"/>
        <v>9</v>
      </c>
      <c r="K3" s="357">
        <f t="shared" si="0"/>
        <v>10</v>
      </c>
      <c r="L3" s="356">
        <f t="shared" si="0"/>
        <v>11</v>
      </c>
    </row>
    <row r="4" spans="1:14" ht="142.75" customHeight="1" thickBot="1">
      <c r="A4" s="43"/>
      <c r="B4" s="416" t="s">
        <v>270</v>
      </c>
      <c r="C4" s="416" t="s">
        <v>216</v>
      </c>
      <c r="D4" s="416" t="s">
        <v>315</v>
      </c>
      <c r="E4" s="416" t="s">
        <v>298</v>
      </c>
      <c r="F4" s="416" t="s">
        <v>299</v>
      </c>
      <c r="G4" s="416" t="s">
        <v>312</v>
      </c>
      <c r="H4" s="416" t="s">
        <v>309</v>
      </c>
      <c r="I4" s="416" t="s">
        <v>310</v>
      </c>
      <c r="J4" s="416" t="s">
        <v>311</v>
      </c>
      <c r="K4" s="416" t="s">
        <v>318</v>
      </c>
      <c r="L4" s="417" t="s">
        <v>108</v>
      </c>
    </row>
    <row r="5" spans="1:14" s="25" customFormat="1" ht="18.75" customHeight="1">
      <c r="A5" s="398" t="s">
        <v>7</v>
      </c>
      <c r="B5" s="418" t="s">
        <v>16</v>
      </c>
      <c r="C5" s="418" t="s">
        <v>16</v>
      </c>
      <c r="D5" s="418" t="s">
        <v>16</v>
      </c>
      <c r="E5" s="418" t="s">
        <v>16</v>
      </c>
      <c r="F5" s="418" t="s">
        <v>16</v>
      </c>
      <c r="G5" s="418" t="s">
        <v>16</v>
      </c>
      <c r="H5" s="418" t="s">
        <v>16</v>
      </c>
      <c r="I5" s="418" t="s">
        <v>16</v>
      </c>
      <c r="J5" s="418" t="s">
        <v>16</v>
      </c>
      <c r="K5" s="418" t="s">
        <v>16</v>
      </c>
      <c r="L5" s="419" t="s">
        <v>16</v>
      </c>
    </row>
    <row r="6" spans="1:14" s="28" customFormat="1">
      <c r="A6" s="26"/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86"/>
    </row>
    <row r="7" spans="1:14" s="28" customFormat="1">
      <c r="A7" s="2" t="s">
        <v>21</v>
      </c>
      <c r="B7" s="147">
        <v>0.16</v>
      </c>
      <c r="C7" s="147">
        <v>2.1309999999999998</v>
      </c>
      <c r="D7" s="147">
        <v>2.5184999999999999E-2</v>
      </c>
      <c r="E7" s="147">
        <v>5.9237999999999999E-2</v>
      </c>
      <c r="F7" s="147">
        <v>1.4E-2</v>
      </c>
      <c r="G7" s="147">
        <v>7.8149999999999997E-2</v>
      </c>
      <c r="H7" s="147">
        <v>0.2</v>
      </c>
      <c r="I7" s="147">
        <v>9.5477000000000006E-2</v>
      </c>
      <c r="J7" s="147">
        <v>2.0133999999999999E-2</v>
      </c>
      <c r="K7" s="147">
        <v>19.779</v>
      </c>
      <c r="L7" s="27">
        <f>SUM(B7:K7)</f>
        <v>22.562183999999998</v>
      </c>
      <c r="N7" s="236"/>
    </row>
    <row r="8" spans="1:14" s="28" customFormat="1">
      <c r="A8" s="2"/>
      <c r="B8" s="147"/>
      <c r="C8" s="147"/>
      <c r="D8" s="147"/>
      <c r="E8" s="147"/>
      <c r="F8" s="147"/>
      <c r="G8" s="147"/>
      <c r="H8" s="147"/>
      <c r="I8" s="147"/>
      <c r="J8" s="147"/>
      <c r="K8" s="147"/>
      <c r="L8" s="27"/>
      <c r="N8" s="236"/>
    </row>
    <row r="9" spans="1:14">
      <c r="A9" s="2" t="s">
        <v>30</v>
      </c>
      <c r="B9" s="225"/>
      <c r="C9" s="225">
        <v>2.5059999999999998</v>
      </c>
      <c r="D9" s="225">
        <v>1.2317E-2</v>
      </c>
      <c r="E9" s="225">
        <v>7.5345999999999996E-2</v>
      </c>
      <c r="F9" s="225">
        <v>5.0000000000000001E-3</v>
      </c>
      <c r="G9" s="225">
        <v>9.2899999999999996E-2</v>
      </c>
      <c r="H9" s="225">
        <v>0.2</v>
      </c>
      <c r="I9" s="225">
        <v>9.5477000000000006E-2</v>
      </c>
      <c r="J9" s="225">
        <v>3.4376999999999998E-2</v>
      </c>
      <c r="K9" s="147">
        <v>23.713999999999999</v>
      </c>
      <c r="L9" s="27">
        <f>SUM(B9:K9)</f>
        <v>26.735416999999998</v>
      </c>
      <c r="N9" s="237"/>
    </row>
    <row r="10" spans="1:14">
      <c r="A10" s="1"/>
      <c r="B10" s="149"/>
      <c r="C10" s="149"/>
      <c r="D10" s="149"/>
      <c r="E10" s="149"/>
      <c r="F10" s="149"/>
      <c r="G10" s="149"/>
      <c r="H10" s="149"/>
      <c r="I10" s="149"/>
      <c r="J10" s="149"/>
      <c r="K10" s="147"/>
      <c r="L10" s="31"/>
      <c r="N10" s="237"/>
    </row>
    <row r="11" spans="1:14">
      <c r="A11" s="2" t="s">
        <v>22</v>
      </c>
      <c r="B11" s="147"/>
      <c r="C11" s="147">
        <v>1.8380000000000001</v>
      </c>
      <c r="D11" s="147">
        <v>1.4171E-2</v>
      </c>
      <c r="E11" s="147">
        <v>5.2949000000000003E-2</v>
      </c>
      <c r="F11" s="147">
        <v>2.7E-2</v>
      </c>
      <c r="G11" s="147">
        <v>6.5979999999999997E-2</v>
      </c>
      <c r="H11" s="147">
        <v>0.2</v>
      </c>
      <c r="I11" s="147">
        <v>7.3225999999999999E-2</v>
      </c>
      <c r="J11" s="147">
        <v>2.0133999999999999E-2</v>
      </c>
      <c r="K11" s="147">
        <v>13.97</v>
      </c>
      <c r="L11" s="27">
        <f>SUM(B11:K11)</f>
        <v>16.26146</v>
      </c>
      <c r="N11" s="237"/>
    </row>
    <row r="12" spans="1:14">
      <c r="A12" s="2"/>
      <c r="B12" s="147"/>
      <c r="C12" s="147"/>
      <c r="D12" s="147"/>
      <c r="E12" s="147"/>
      <c r="F12" s="147"/>
      <c r="G12" s="147"/>
      <c r="H12" s="147"/>
      <c r="I12" s="147"/>
      <c r="J12" s="147"/>
      <c r="K12" s="147"/>
      <c r="L12" s="27"/>
    </row>
    <row r="13" spans="1:14" s="28" customFormat="1">
      <c r="A13" s="2" t="s">
        <v>206</v>
      </c>
      <c r="B13" s="147"/>
      <c r="C13" s="147">
        <v>2.113</v>
      </c>
      <c r="D13" s="147">
        <v>1.6768999999999999E-2</v>
      </c>
      <c r="E13" s="147">
        <v>4.3166000000000003E-2</v>
      </c>
      <c r="F13" s="147">
        <v>4.0000000000000001E-3</v>
      </c>
      <c r="G13" s="147">
        <v>5.9200000000000003E-2</v>
      </c>
      <c r="H13" s="147">
        <v>0.2</v>
      </c>
      <c r="I13" s="147">
        <v>7.3225999999999999E-2</v>
      </c>
      <c r="J13" s="147">
        <v>2.0133999999999999E-2</v>
      </c>
      <c r="K13" s="147">
        <v>16.122</v>
      </c>
      <c r="L13" s="27">
        <f>SUM(B13:K13)</f>
        <v>18.651495000000001</v>
      </c>
    </row>
    <row r="14" spans="1:14" s="28" customFormat="1">
      <c r="A14" s="2"/>
      <c r="B14" s="147"/>
      <c r="C14" s="147"/>
      <c r="D14" s="147"/>
      <c r="E14" s="147"/>
      <c r="F14" s="147"/>
      <c r="G14" s="147"/>
      <c r="H14" s="147"/>
      <c r="I14" s="147"/>
      <c r="J14" s="147"/>
      <c r="K14" s="147"/>
      <c r="L14" s="27"/>
    </row>
    <row r="15" spans="1:14" s="28" customFormat="1">
      <c r="A15" s="2" t="s">
        <v>24</v>
      </c>
      <c r="B15" s="147"/>
      <c r="C15" s="147">
        <v>1.542</v>
      </c>
      <c r="D15" s="147">
        <v>1.6827000000000002E-2</v>
      </c>
      <c r="E15" s="147">
        <v>3.1199000000000001E-2</v>
      </c>
      <c r="F15" s="147">
        <v>2E-3</v>
      </c>
      <c r="G15" s="147">
        <v>5.1229999999999998E-2</v>
      </c>
      <c r="H15" s="147">
        <v>0.2</v>
      </c>
      <c r="I15" s="147">
        <v>9.5477000000000006E-2</v>
      </c>
      <c r="J15" s="147">
        <v>2.0133999999999999E-2</v>
      </c>
      <c r="K15" s="147">
        <v>13.429</v>
      </c>
      <c r="L15" s="27">
        <f>SUM(B15:K15)</f>
        <v>15.387867</v>
      </c>
    </row>
    <row r="16" spans="1:14">
      <c r="A16" s="1"/>
      <c r="B16" s="149"/>
      <c r="C16" s="149"/>
      <c r="D16" s="149"/>
      <c r="E16" s="149"/>
      <c r="F16" s="149"/>
      <c r="G16" s="149"/>
      <c r="H16" s="149"/>
      <c r="I16" s="149"/>
      <c r="J16" s="149"/>
      <c r="K16" s="147"/>
      <c r="L16" s="31"/>
    </row>
    <row r="17" spans="1:14" s="28" customFormat="1">
      <c r="A17" s="2" t="s">
        <v>23</v>
      </c>
      <c r="B17" s="147"/>
      <c r="C17" s="147">
        <v>0.17599999999999999</v>
      </c>
      <c r="D17" s="147">
        <v>5.7359999999999998E-3</v>
      </c>
      <c r="E17" s="147">
        <v>1.1249E-2</v>
      </c>
      <c r="F17" s="147">
        <v>0</v>
      </c>
      <c r="G17" s="147">
        <v>1.755E-2</v>
      </c>
      <c r="H17" s="147">
        <v>0.2</v>
      </c>
      <c r="I17" s="147">
        <v>7.3225999999999999E-2</v>
      </c>
      <c r="J17" s="147">
        <v>2.0133999999999999E-2</v>
      </c>
      <c r="K17" s="147">
        <v>4.6440000000000001</v>
      </c>
      <c r="L17" s="27">
        <f>SUM(B17:K17)</f>
        <v>5.1478950000000001</v>
      </c>
    </row>
    <row r="18" spans="1:14" s="28" customFormat="1">
      <c r="A18" s="2"/>
      <c r="B18" s="225"/>
      <c r="C18" s="225"/>
      <c r="D18" s="225"/>
      <c r="E18" s="225"/>
      <c r="F18" s="225"/>
      <c r="G18" s="225"/>
      <c r="H18" s="225"/>
      <c r="I18" s="225"/>
      <c r="J18" s="225"/>
      <c r="K18" s="147"/>
      <c r="L18" s="339"/>
    </row>
    <row r="19" spans="1:14" s="28" customFormat="1">
      <c r="A19" s="2" t="s">
        <v>207</v>
      </c>
      <c r="B19" s="147"/>
      <c r="C19" s="147">
        <v>1.647</v>
      </c>
      <c r="D19" s="147">
        <v>1.6707E-2</v>
      </c>
      <c r="E19" s="147">
        <v>2.7792000000000001E-2</v>
      </c>
      <c r="F19" s="147">
        <v>1.2E-2</v>
      </c>
      <c r="G19" s="147">
        <v>5.1769999999999997E-2</v>
      </c>
      <c r="H19" s="147">
        <v>0.2</v>
      </c>
      <c r="I19" s="147">
        <v>9.5477000000000006E-2</v>
      </c>
      <c r="J19" s="147">
        <v>2.0133999999999999E-2</v>
      </c>
      <c r="K19" s="147">
        <v>13.342000000000001</v>
      </c>
      <c r="L19" s="27">
        <f>SUM(B19:K19)</f>
        <v>15.412880000000001</v>
      </c>
      <c r="N19" s="236"/>
    </row>
    <row r="20" spans="1:14" ht="16" thickBot="1">
      <c r="A20" s="2"/>
      <c r="B20" s="292"/>
      <c r="C20" s="292"/>
      <c r="D20" s="292"/>
      <c r="E20" s="292"/>
      <c r="F20" s="292"/>
      <c r="G20" s="292"/>
      <c r="H20" s="292"/>
      <c r="I20" s="292"/>
      <c r="J20" s="386"/>
      <c r="K20" s="292"/>
      <c r="L20" s="85"/>
    </row>
    <row r="21" spans="1:14" ht="16" thickBot="1">
      <c r="A21" s="32" t="s">
        <v>0</v>
      </c>
      <c r="B21" s="59">
        <f t="shared" ref="B21:L21" si="1">+B19+B7+B9+B11+B13+B15+B17</f>
        <v>0.16</v>
      </c>
      <c r="C21" s="59">
        <f t="shared" si="1"/>
        <v>11.952999999999999</v>
      </c>
      <c r="D21" s="59">
        <f t="shared" si="1"/>
        <v>0.10771200000000002</v>
      </c>
      <c r="E21" s="59">
        <f t="shared" si="1"/>
        <v>0.30093899999999996</v>
      </c>
      <c r="F21" s="59">
        <f t="shared" si="1"/>
        <v>6.4000000000000001E-2</v>
      </c>
      <c r="G21" s="59">
        <f t="shared" si="1"/>
        <v>0.41677999999999998</v>
      </c>
      <c r="H21" s="59">
        <f t="shared" si="1"/>
        <v>1.4</v>
      </c>
      <c r="I21" s="59">
        <f t="shared" si="1"/>
        <v>0.60158600000000007</v>
      </c>
      <c r="J21" s="59">
        <f t="shared" si="1"/>
        <v>0.15518099999999996</v>
      </c>
      <c r="K21" s="59">
        <f t="shared" si="1"/>
        <v>105.00000000000001</v>
      </c>
      <c r="L21" s="118">
        <f t="shared" si="1"/>
        <v>120.159198</v>
      </c>
    </row>
    <row r="22" spans="1:14">
      <c r="M22" s="8"/>
    </row>
    <row r="24" spans="1:14">
      <c r="A24" s="200"/>
      <c r="E24" s="286"/>
      <c r="F24" s="286"/>
      <c r="G24" s="286"/>
      <c r="H24" s="286"/>
      <c r="I24" s="286"/>
      <c r="J24" s="286"/>
    </row>
  </sheetData>
  <printOptions horizontalCentered="1"/>
  <pageMargins left="0.77" right="0.74803149606299213" top="0.98425196850393704" bottom="0.98425196850393704" header="0.51181102362204722" footer="0.51181102362204722"/>
  <pageSetup paperSize="9" scale="5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indexed="42"/>
    <pageSetUpPr fitToPage="1"/>
  </sheetPr>
  <dimension ref="A1:T69"/>
  <sheetViews>
    <sheetView topLeftCell="A4" zoomScaleNormal="100" workbookViewId="0">
      <pane xSplit="1" ySplit="4" topLeftCell="F8" activePane="bottomRight" state="frozen"/>
      <selection activeCell="A4" sqref="A4"/>
      <selection pane="topRight" activeCell="B4" sqref="B4"/>
      <selection pane="bottomLeft" activeCell="A8" sqref="A8"/>
      <selection pane="bottomRight" activeCell="S5" sqref="S5"/>
    </sheetView>
  </sheetViews>
  <sheetFormatPr defaultColWidth="8.84375" defaultRowHeight="15.5"/>
  <cols>
    <col min="1" max="1" width="44.4609375" style="24" customWidth="1"/>
    <col min="2" max="2" width="9.921875" style="24" customWidth="1"/>
    <col min="3" max="3" width="10.4609375" style="430" customWidth="1"/>
    <col min="4" max="4" width="10.23046875" style="42" customWidth="1"/>
    <col min="5" max="5" width="9.23046875" style="42" customWidth="1"/>
    <col min="6" max="6" width="9.07421875" style="42" customWidth="1"/>
    <col min="7" max="7" width="9.61328125" style="42" customWidth="1"/>
    <col min="8" max="8" width="11.69140625" style="42" customWidth="1"/>
    <col min="9" max="9" width="9.61328125" style="42" customWidth="1"/>
    <col min="10" max="10" width="11.53515625" style="42" customWidth="1"/>
    <col min="11" max="11" width="10.84375" style="42" customWidth="1"/>
    <col min="12" max="12" width="8.69140625" style="42" customWidth="1"/>
    <col min="13" max="13" width="9.921875" style="42" customWidth="1"/>
    <col min="14" max="14" width="11.69140625" style="42" customWidth="1"/>
    <col min="15" max="15" width="9.84375" style="42" customWidth="1"/>
    <col min="16" max="16" width="12.61328125" style="42" customWidth="1"/>
    <col min="17" max="17" width="9.84375" style="42" customWidth="1"/>
    <col min="18" max="18" width="12.84375" style="24" customWidth="1"/>
    <col min="19" max="19" width="8.53515625" style="24" customWidth="1"/>
    <col min="20" max="16384" width="8.84375" style="24"/>
  </cols>
  <sheetData>
    <row r="1" spans="1:20">
      <c r="A1" s="28" t="s">
        <v>239</v>
      </c>
      <c r="B1" s="28"/>
      <c r="C1" s="42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</row>
    <row r="2" spans="1:20">
      <c r="A2" s="200" t="s">
        <v>210</v>
      </c>
      <c r="C2" s="42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</row>
    <row r="3" spans="1:20" ht="16" thickBot="1">
      <c r="C3" s="42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</row>
    <row r="4" spans="1:20" s="422" customFormat="1" ht="20.399999999999999" customHeight="1">
      <c r="A4" s="38"/>
      <c r="B4" s="46">
        <v>1</v>
      </c>
      <c r="C4" s="7">
        <f t="shared" ref="C4:O4" si="0">+B4+1</f>
        <v>2</v>
      </c>
      <c r="D4" s="287">
        <f t="shared" si="0"/>
        <v>3</v>
      </c>
      <c r="E4" s="7">
        <f t="shared" si="0"/>
        <v>4</v>
      </c>
      <c r="F4" s="7">
        <f t="shared" si="0"/>
        <v>5</v>
      </c>
      <c r="G4" s="7">
        <f t="shared" si="0"/>
        <v>6</v>
      </c>
      <c r="H4" s="7">
        <f t="shared" si="0"/>
        <v>7</v>
      </c>
      <c r="I4" s="7">
        <f t="shared" si="0"/>
        <v>8</v>
      </c>
      <c r="J4" s="7">
        <f t="shared" si="0"/>
        <v>9</v>
      </c>
      <c r="K4" s="287">
        <f t="shared" si="0"/>
        <v>10</v>
      </c>
      <c r="L4" s="7">
        <f t="shared" si="0"/>
        <v>11</v>
      </c>
      <c r="M4" s="7">
        <f t="shared" si="0"/>
        <v>12</v>
      </c>
      <c r="N4" s="287">
        <f t="shared" si="0"/>
        <v>13</v>
      </c>
      <c r="O4" s="287">
        <f t="shared" si="0"/>
        <v>14</v>
      </c>
      <c r="P4" s="287">
        <f>+O4+1</f>
        <v>15</v>
      </c>
      <c r="Q4" s="287">
        <f>+P4+1</f>
        <v>16</v>
      </c>
      <c r="R4" s="287">
        <f>+Q4+1</f>
        <v>17</v>
      </c>
    </row>
    <row r="5" spans="1:20" ht="138" customHeight="1" thickBot="1">
      <c r="A5" s="423"/>
      <c r="B5" s="64" t="s">
        <v>8</v>
      </c>
      <c r="C5" s="253" t="s">
        <v>118</v>
      </c>
      <c r="D5" s="254" t="s">
        <v>226</v>
      </c>
      <c r="E5" s="254" t="s">
        <v>113</v>
      </c>
      <c r="F5" s="434" t="s">
        <v>114</v>
      </c>
      <c r="G5" s="434" t="s">
        <v>195</v>
      </c>
      <c r="H5" s="434" t="s">
        <v>194</v>
      </c>
      <c r="I5" s="434" t="s">
        <v>196</v>
      </c>
      <c r="J5" s="434" t="s">
        <v>162</v>
      </c>
      <c r="K5" s="434" t="s">
        <v>163</v>
      </c>
      <c r="L5" s="434" t="s">
        <v>165</v>
      </c>
      <c r="M5" s="434" t="s">
        <v>193</v>
      </c>
      <c r="N5" s="434" t="s">
        <v>215</v>
      </c>
      <c r="O5" s="434" t="s">
        <v>282</v>
      </c>
      <c r="P5" s="434" t="s">
        <v>297</v>
      </c>
      <c r="Q5" s="434" t="s">
        <v>287</v>
      </c>
      <c r="R5" s="435" t="s">
        <v>288</v>
      </c>
    </row>
    <row r="6" spans="1:20" ht="15.75" customHeight="1">
      <c r="A6" s="424"/>
      <c r="B6" s="425" t="s">
        <v>16</v>
      </c>
      <c r="C6" s="425" t="s">
        <v>16</v>
      </c>
      <c r="D6" s="426" t="s">
        <v>16</v>
      </c>
      <c r="E6" s="426" t="s">
        <v>16</v>
      </c>
      <c r="F6" s="431" t="s">
        <v>16</v>
      </c>
      <c r="G6" s="432" t="s">
        <v>16</v>
      </c>
      <c r="H6" s="432" t="s">
        <v>16</v>
      </c>
      <c r="I6" s="432" t="s">
        <v>16</v>
      </c>
      <c r="J6" s="432" t="s">
        <v>16</v>
      </c>
      <c r="K6" s="432" t="s">
        <v>16</v>
      </c>
      <c r="L6" s="432" t="s">
        <v>16</v>
      </c>
      <c r="M6" s="432" t="s">
        <v>16</v>
      </c>
      <c r="N6" s="432" t="s">
        <v>16</v>
      </c>
      <c r="O6" s="432" t="s">
        <v>16</v>
      </c>
      <c r="P6" s="418" t="s">
        <v>16</v>
      </c>
      <c r="Q6" s="432" t="s">
        <v>16</v>
      </c>
      <c r="R6" s="433" t="s">
        <v>16</v>
      </c>
    </row>
    <row r="7" spans="1:20" s="28" customFormat="1">
      <c r="A7" s="3"/>
      <c r="B7" s="67"/>
      <c r="C7" s="69"/>
      <c r="D7" s="95"/>
      <c r="E7" s="68"/>
      <c r="F7" s="217"/>
      <c r="G7" s="250"/>
      <c r="H7" s="250"/>
      <c r="I7" s="250"/>
      <c r="J7" s="250"/>
      <c r="K7" s="250"/>
      <c r="L7" s="289"/>
      <c r="M7" s="217"/>
      <c r="N7" s="289"/>
      <c r="O7" s="289"/>
      <c r="P7" s="80"/>
      <c r="Q7" s="289"/>
      <c r="R7" s="427"/>
    </row>
    <row r="8" spans="1:20" s="28" customFormat="1">
      <c r="A8" s="2" t="s">
        <v>21</v>
      </c>
      <c r="B8" s="67">
        <v>13.799727499999999</v>
      </c>
      <c r="C8" s="67">
        <f>'Table 4'!B7</f>
        <v>30.462414422084333</v>
      </c>
      <c r="D8" s="67">
        <f>'Table 2'!H7</f>
        <v>104.06829089999999</v>
      </c>
      <c r="E8" s="214">
        <v>9.4916794775000017</v>
      </c>
      <c r="F8" s="218">
        <f>0.97215-0.01+0.363344</f>
        <v>1.325494</v>
      </c>
      <c r="G8" s="218">
        <v>7.1619919999999997</v>
      </c>
      <c r="H8" s="218">
        <v>3.826432766892256</v>
      </c>
      <c r="I8" s="218">
        <v>2.8698245751691918</v>
      </c>
      <c r="J8" s="218">
        <v>0.45800000000000002</v>
      </c>
      <c r="K8" s="218">
        <f>0.60497+0.301+0.302+0.224</f>
        <v>1.43197</v>
      </c>
      <c r="L8" s="290">
        <v>0.105195</v>
      </c>
      <c r="M8" s="21">
        <f>0.722+0.346</f>
        <v>1.0680000000000001</v>
      </c>
      <c r="N8" s="355">
        <f>1.642+0.207</f>
        <v>1.849</v>
      </c>
      <c r="O8" s="355">
        <v>0.42465999999999998</v>
      </c>
      <c r="P8" s="146"/>
      <c r="Q8" s="355">
        <f>3.014-0.002861-0.018914</f>
        <v>2.9922249999999999</v>
      </c>
      <c r="R8" s="216">
        <f>SUM(B8:Q8)</f>
        <v>181.33490564164578</v>
      </c>
      <c r="S8" s="63"/>
      <c r="T8" s="263"/>
    </row>
    <row r="9" spans="1:20" s="28" customFormat="1">
      <c r="A9" s="2"/>
      <c r="B9" s="67"/>
      <c r="C9" s="67"/>
      <c r="D9" s="67"/>
      <c r="E9" s="214"/>
      <c r="F9" s="218"/>
      <c r="G9" s="218"/>
      <c r="H9" s="218"/>
      <c r="I9" s="218"/>
      <c r="J9" s="218"/>
      <c r="K9" s="218"/>
      <c r="L9" s="290"/>
      <c r="M9" s="21"/>
      <c r="N9" s="355"/>
      <c r="O9" s="355"/>
      <c r="P9" s="146"/>
      <c r="Q9" s="355"/>
      <c r="R9" s="216"/>
      <c r="S9" s="63"/>
      <c r="T9" s="262"/>
    </row>
    <row r="10" spans="1:20" s="28" customFormat="1">
      <c r="A10" s="62" t="s">
        <v>30</v>
      </c>
      <c r="B10" s="67">
        <v>17.214145000000002</v>
      </c>
      <c r="C10" s="67">
        <f>'Table 4'!B9</f>
        <v>31.789425353502139</v>
      </c>
      <c r="D10" s="67">
        <f>'Table 2'!H9</f>
        <v>141.45258700000002</v>
      </c>
      <c r="E10" s="214">
        <v>20.115160980749998</v>
      </c>
      <c r="F10" s="218">
        <v>1.2981640000000001</v>
      </c>
      <c r="G10" s="218">
        <v>9.5672619999999995</v>
      </c>
      <c r="H10" s="218">
        <v>4.2513811943299853</v>
      </c>
      <c r="I10" s="218">
        <v>3.1885358957474894</v>
      </c>
      <c r="J10" s="218">
        <v>0.65200000000000002</v>
      </c>
      <c r="K10" s="218">
        <f>0.934022+0.334+0.336+0.25</f>
        <v>1.8540220000000001</v>
      </c>
      <c r="L10" s="290">
        <v>0.162412</v>
      </c>
      <c r="M10" s="21">
        <f>0.802+0.385</f>
        <v>1.1870000000000001</v>
      </c>
      <c r="N10" s="355">
        <v>2.625</v>
      </c>
      <c r="O10" s="355">
        <v>0</v>
      </c>
      <c r="P10" s="146">
        <v>82</v>
      </c>
      <c r="Q10" s="355">
        <f>3.613-0.003193-0.02234</f>
        <v>3.5874670000000002</v>
      </c>
      <c r="R10" s="216">
        <f>SUM(B10:Q10)</f>
        <v>320.9445624243296</v>
      </c>
      <c r="T10" s="263"/>
    </row>
    <row r="11" spans="1:20" s="28" customFormat="1">
      <c r="A11" s="2"/>
      <c r="B11" s="67"/>
      <c r="C11" s="67"/>
      <c r="D11" s="67"/>
      <c r="E11" s="214"/>
      <c r="F11" s="218"/>
      <c r="G11" s="218"/>
      <c r="H11" s="218"/>
      <c r="I11" s="218"/>
      <c r="J11" s="218"/>
      <c r="K11" s="218"/>
      <c r="L11" s="290"/>
      <c r="M11" s="21"/>
      <c r="N11" s="355"/>
      <c r="O11" s="355"/>
      <c r="P11" s="148"/>
      <c r="Q11" s="355"/>
      <c r="R11" s="216"/>
      <c r="S11" s="63"/>
      <c r="T11" s="262"/>
    </row>
    <row r="12" spans="1:20" s="28" customFormat="1">
      <c r="A12" s="2" t="s">
        <v>22</v>
      </c>
      <c r="B12" s="67">
        <v>0.48799600000000237</v>
      </c>
      <c r="C12" s="67">
        <f>'Table 4'!B11</f>
        <v>19.745068263336275</v>
      </c>
      <c r="D12" s="67">
        <f>'Table 2'!H11</f>
        <v>105.89572259999998</v>
      </c>
      <c r="E12" s="214">
        <v>6.9342506925</v>
      </c>
      <c r="F12" s="218">
        <v>0.70154700000000003</v>
      </c>
      <c r="G12" s="218">
        <v>4.8953430000000004</v>
      </c>
      <c r="H12" s="218">
        <v>2.8789087075549435</v>
      </c>
      <c r="I12" s="218">
        <v>2.1591815306662077</v>
      </c>
      <c r="J12" s="218">
        <v>0.36699999999999999</v>
      </c>
      <c r="K12" s="218">
        <f>0.433785+0.226+0.227+0.169</f>
        <v>1.055785</v>
      </c>
      <c r="L12" s="290">
        <v>7.5428999999999996E-2</v>
      </c>
      <c r="M12" s="21">
        <f>0.543+0.26</f>
        <v>0.80300000000000005</v>
      </c>
      <c r="N12" s="355">
        <f>4.5+0.17</f>
        <v>4.67</v>
      </c>
      <c r="O12" s="355">
        <v>0.34782000000000002</v>
      </c>
      <c r="P12" s="146"/>
      <c r="Q12" s="355">
        <f>2.129-0.002164+0.086526</f>
        <v>2.2133620000000001</v>
      </c>
      <c r="R12" s="216">
        <f>SUM(B12:Q12)</f>
        <v>153.2304137940574</v>
      </c>
      <c r="T12" s="263"/>
    </row>
    <row r="13" spans="1:20" s="28" customFormat="1">
      <c r="A13" s="2"/>
      <c r="B13" s="67"/>
      <c r="C13" s="67"/>
      <c r="D13" s="67"/>
      <c r="E13" s="214"/>
      <c r="F13" s="218"/>
      <c r="G13" s="218"/>
      <c r="H13" s="218"/>
      <c r="I13" s="218"/>
      <c r="J13" s="218"/>
      <c r="K13" s="218"/>
      <c r="L13" s="290"/>
      <c r="M13" s="21"/>
      <c r="N13" s="355"/>
      <c r="O13" s="355"/>
      <c r="P13" s="146"/>
      <c r="Q13" s="355"/>
      <c r="R13" s="216"/>
      <c r="T13" s="262"/>
    </row>
    <row r="14" spans="1:20" s="28" customFormat="1">
      <c r="A14" s="2" t="s">
        <v>206</v>
      </c>
      <c r="B14" s="67">
        <v>0</v>
      </c>
      <c r="C14" s="67">
        <f>'Table 4'!B13</f>
        <v>27.87891179649386</v>
      </c>
      <c r="D14" s="67">
        <f>'Table 2'!H13</f>
        <v>101.91846893796551</v>
      </c>
      <c r="E14" s="214">
        <f>5.8395064275+3.22960589921649</f>
        <v>9.069112326716489</v>
      </c>
      <c r="F14" s="218">
        <f>0.5184+0.146722426955815</f>
        <v>0.66512242695581492</v>
      </c>
      <c r="G14" s="218">
        <v>5.5213130000000001</v>
      </c>
      <c r="H14" s="218">
        <v>3.2143851364406286</v>
      </c>
      <c r="I14" s="218">
        <v>2.4107888523304712</v>
      </c>
      <c r="J14" s="218">
        <v>0.36699999999999999</v>
      </c>
      <c r="K14" s="218">
        <f>0.328981+0.142503789092129+0.253+0.254+0.189</f>
        <v>1.1674847890921289</v>
      </c>
      <c r="L14" s="290">
        <f>0.057205+0.0247793273642258</f>
        <v>8.1984327364225798E-2</v>
      </c>
      <c r="M14" s="21">
        <f>0.606+0.291</f>
        <v>0.89700000000000002</v>
      </c>
      <c r="N14" s="355">
        <f>0.141+1.38</f>
        <v>1.5209999999999999</v>
      </c>
      <c r="O14" s="355">
        <v>0.28849000000000002</v>
      </c>
      <c r="P14" s="146"/>
      <c r="Q14" s="355">
        <f>2.457-0.002411-0.0151</f>
        <v>2.439489</v>
      </c>
      <c r="R14" s="216">
        <f>SUM(B14:Q14)</f>
        <v>157.44055059335912</v>
      </c>
      <c r="T14" s="263"/>
    </row>
    <row r="15" spans="1:20">
      <c r="A15" s="1"/>
      <c r="B15" s="169"/>
      <c r="C15" s="29"/>
      <c r="D15" s="30"/>
      <c r="E15" s="214"/>
      <c r="F15" s="218"/>
      <c r="G15" s="218"/>
      <c r="H15" s="218"/>
      <c r="I15" s="218"/>
      <c r="J15" s="218"/>
      <c r="K15" s="218"/>
      <c r="L15" s="290"/>
      <c r="M15" s="21"/>
      <c r="N15" s="355"/>
      <c r="O15" s="355"/>
      <c r="P15" s="146"/>
      <c r="Q15" s="355"/>
      <c r="R15" s="215"/>
      <c r="T15" s="428"/>
    </row>
    <row r="16" spans="1:20" s="28" customFormat="1">
      <c r="A16" s="2" t="s">
        <v>24</v>
      </c>
      <c r="B16" s="67">
        <f>7.908875+0.754</f>
        <v>8.6628749999999997</v>
      </c>
      <c r="C16" s="67">
        <f>'Table 4'!B15</f>
        <v>20.097469647376336</v>
      </c>
      <c r="D16" s="67">
        <f>'Table 2'!H15</f>
        <v>82.275987299999969</v>
      </c>
      <c r="E16" s="214">
        <v>6.6551242749999995</v>
      </c>
      <c r="F16" s="218">
        <v>0.70760800000000001</v>
      </c>
      <c r="G16" s="218">
        <v>5.5504189999999998</v>
      </c>
      <c r="H16" s="218">
        <v>2.4255249710833979</v>
      </c>
      <c r="I16" s="218">
        <v>1.8191437283125484</v>
      </c>
      <c r="J16" s="218">
        <v>0.39800000000000002</v>
      </c>
      <c r="K16" s="218">
        <f>0.497211+0.191+0.192+0.143</f>
        <v>1.0232110000000001</v>
      </c>
      <c r="L16" s="290">
        <v>8.6457000000000006E-2</v>
      </c>
      <c r="M16" s="21">
        <f>0.458+0.22</f>
        <v>0.67800000000000005</v>
      </c>
      <c r="N16" s="355">
        <f>1.041+0.137</f>
        <v>1.1779999999999999</v>
      </c>
      <c r="O16" s="355">
        <v>0.28134999999999999</v>
      </c>
      <c r="P16" s="146"/>
      <c r="Q16" s="355">
        <f>2.046-0.001811-0.012877</f>
        <v>2.0313119999999998</v>
      </c>
      <c r="R16" s="216">
        <f>SUM(B16:Q16)</f>
        <v>133.87048192177224</v>
      </c>
      <c r="T16" s="263"/>
    </row>
    <row r="17" spans="1:20" s="28" customFormat="1">
      <c r="A17" s="2"/>
      <c r="B17" s="67"/>
      <c r="C17" s="67"/>
      <c r="D17" s="67"/>
      <c r="E17" s="214"/>
      <c r="F17" s="218"/>
      <c r="G17" s="218"/>
      <c r="H17" s="218"/>
      <c r="I17" s="218"/>
      <c r="J17" s="218"/>
      <c r="K17" s="218"/>
      <c r="L17" s="290"/>
      <c r="M17" s="21"/>
      <c r="N17" s="355"/>
      <c r="O17" s="355"/>
      <c r="P17" s="148"/>
      <c r="Q17" s="355"/>
      <c r="R17" s="216"/>
      <c r="T17" s="262"/>
    </row>
    <row r="18" spans="1:20">
      <c r="A18" s="2" t="s">
        <v>23</v>
      </c>
      <c r="B18" s="67">
        <v>7.4937849999999999</v>
      </c>
      <c r="C18" s="67">
        <f>'Table 4'!B17</f>
        <v>4.4677808479233692</v>
      </c>
      <c r="D18" s="67">
        <f>'Table 2'!H17</f>
        <v>29.8460103</v>
      </c>
      <c r="E18" s="214">
        <v>1.8755139350000003</v>
      </c>
      <c r="F18" s="218">
        <f>0.254074+0.01</f>
        <v>0.26407400000000003</v>
      </c>
      <c r="G18" s="218">
        <v>2.0799470000000002</v>
      </c>
      <c r="H18" s="218">
        <v>0.81370979411896882</v>
      </c>
      <c r="I18" s="218">
        <v>0.61028234558922667</v>
      </c>
      <c r="J18" s="218">
        <v>0.33700000000000002</v>
      </c>
      <c r="K18" s="218">
        <f>0.27022+0.064+0.064+0.047</f>
        <v>0.44522</v>
      </c>
      <c r="L18" s="290">
        <v>4.6987000000000001E-2</v>
      </c>
      <c r="M18" s="21">
        <f>0.154+0.074</f>
        <v>0.22799999999999998</v>
      </c>
      <c r="N18" s="355">
        <f>0.024</f>
        <v>2.4E-2</v>
      </c>
      <c r="O18" s="355">
        <v>4.8959999999999997E-2</v>
      </c>
      <c r="P18" s="146"/>
      <c r="Q18" s="355">
        <f>0.708-0.000611-0.004162</f>
        <v>0.70322699999999994</v>
      </c>
      <c r="R18" s="216">
        <f>SUM(B18:Q18)</f>
        <v>49.284497222631572</v>
      </c>
      <c r="T18" s="263"/>
    </row>
    <row r="19" spans="1:20">
      <c r="A19" s="97"/>
      <c r="B19" s="67"/>
      <c r="C19" s="340"/>
      <c r="D19" s="340"/>
      <c r="E19" s="341"/>
      <c r="F19" s="342"/>
      <c r="G19" s="343"/>
      <c r="H19" s="343"/>
      <c r="I19" s="343"/>
      <c r="J19" s="343"/>
      <c r="K19" s="343"/>
      <c r="L19" s="343"/>
      <c r="M19" s="343"/>
      <c r="N19" s="344"/>
      <c r="O19" s="344"/>
      <c r="P19" s="146"/>
      <c r="Q19" s="344"/>
      <c r="R19" s="216"/>
      <c r="T19" s="263"/>
    </row>
    <row r="20" spans="1:20" s="28" customFormat="1">
      <c r="A20" s="97" t="s">
        <v>207</v>
      </c>
      <c r="B20" s="67">
        <v>22.903748999999998</v>
      </c>
      <c r="C20" s="67">
        <f>'Table 4'!B19</f>
        <v>21.195710674741619</v>
      </c>
      <c r="D20" s="67">
        <f>'Table 2'!H19</f>
        <v>92.499792262034504</v>
      </c>
      <c r="E20" s="214">
        <f>11.8918957325-3.22960589921649</f>
        <v>8.6622898332835092</v>
      </c>
      <c r="F20" s="218">
        <f>0.5235-0.146722426955815</f>
        <v>0.37677757304418497</v>
      </c>
      <c r="G20" s="21">
        <v>5.2237239999999998</v>
      </c>
      <c r="H20" s="21">
        <v>2.5896574295798187</v>
      </c>
      <c r="I20" s="21">
        <v>1.942243072184864</v>
      </c>
      <c r="J20" s="21">
        <v>0.39800000000000002</v>
      </c>
      <c r="K20" s="21">
        <f>0.507892-0.142503789092129+0.204+0.205+0.152</f>
        <v>0.92638821090787093</v>
      </c>
      <c r="L20" s="355">
        <f>0.088315-0.0247793273642258</f>
        <v>6.3535672635774199E-2</v>
      </c>
      <c r="M20" s="21">
        <f>0.489+0.234</f>
        <v>0.72299999999999998</v>
      </c>
      <c r="N20" s="355">
        <f>0.961+0.151+0.151</f>
        <v>1.2629999999999999</v>
      </c>
      <c r="O20" s="355">
        <v>0.30871999999999999</v>
      </c>
      <c r="P20" s="146"/>
      <c r="Q20" s="355">
        <f>2.033+0.013051-0.013133</f>
        <v>2.032918</v>
      </c>
      <c r="R20" s="216">
        <f>SUM(B20:Q20)</f>
        <v>161.10950572841216</v>
      </c>
      <c r="T20" s="263"/>
    </row>
    <row r="21" spans="1:20" ht="16" thickBot="1">
      <c r="A21" s="66"/>
      <c r="B21" s="170"/>
      <c r="C21" s="29"/>
      <c r="D21" s="29"/>
      <c r="E21" s="29"/>
      <c r="F21" s="95"/>
      <c r="G21" s="251"/>
      <c r="H21" s="251"/>
      <c r="I21" s="251"/>
      <c r="J21" s="70"/>
      <c r="K21" s="252"/>
      <c r="L21" s="291"/>
      <c r="M21" s="70"/>
      <c r="N21" s="291"/>
      <c r="O21" s="291"/>
      <c r="P21" s="388"/>
      <c r="Q21" s="291"/>
      <c r="R21" s="215"/>
    </row>
    <row r="22" spans="1:20" s="18" customFormat="1" ht="21.75" customHeight="1" thickBot="1">
      <c r="A22" s="40" t="s">
        <v>0</v>
      </c>
      <c r="B22" s="60">
        <f t="shared" ref="B22:R22" si="1">+B10+B20+B16+B18+B14+B12+B8</f>
        <v>70.562277500000008</v>
      </c>
      <c r="C22" s="60">
        <f t="shared" si="1"/>
        <v>155.63678100545795</v>
      </c>
      <c r="D22" s="60">
        <f t="shared" si="1"/>
        <v>657.95685929999991</v>
      </c>
      <c r="E22" s="60">
        <f t="shared" si="1"/>
        <v>62.80313152075</v>
      </c>
      <c r="F22" s="60">
        <f t="shared" si="1"/>
        <v>5.3387869999999999</v>
      </c>
      <c r="G22" s="60">
        <f t="shared" si="1"/>
        <v>40</v>
      </c>
      <c r="H22" s="60">
        <f t="shared" si="1"/>
        <v>19.999999999999996</v>
      </c>
      <c r="I22" s="60">
        <f t="shared" si="1"/>
        <v>15</v>
      </c>
      <c r="J22" s="60">
        <f t="shared" si="1"/>
        <v>2.9770000000000003</v>
      </c>
      <c r="K22" s="60">
        <f t="shared" si="1"/>
        <v>7.9040809999999997</v>
      </c>
      <c r="L22" s="60">
        <f t="shared" si="1"/>
        <v>0.622</v>
      </c>
      <c r="M22" s="60">
        <f t="shared" si="1"/>
        <v>5.5839999999999996</v>
      </c>
      <c r="N22" s="60">
        <f t="shared" si="1"/>
        <v>13.129999999999999</v>
      </c>
      <c r="O22" s="60">
        <f t="shared" si="1"/>
        <v>1.7</v>
      </c>
      <c r="P22" s="60">
        <f t="shared" si="1"/>
        <v>82</v>
      </c>
      <c r="Q22" s="60">
        <f t="shared" si="1"/>
        <v>16</v>
      </c>
      <c r="R22" s="107">
        <f t="shared" si="1"/>
        <v>1157.2149173262078</v>
      </c>
      <c r="S22" s="17"/>
    </row>
    <row r="23" spans="1:20">
      <c r="C23" s="3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29"/>
      <c r="S23" s="284"/>
    </row>
    <row r="24" spans="1:20" ht="93">
      <c r="C24" s="42"/>
      <c r="K24" s="383" t="s">
        <v>290</v>
      </c>
      <c r="L24" s="249"/>
      <c r="M24" s="249"/>
      <c r="N24" s="383" t="s">
        <v>306</v>
      </c>
      <c r="O24" s="383" t="s">
        <v>283</v>
      </c>
      <c r="P24" s="383"/>
      <c r="Q24" s="383" t="s">
        <v>291</v>
      </c>
    </row>
    <row r="25" spans="1:20">
      <c r="C25" s="42"/>
    </row>
    <row r="26" spans="1:20">
      <c r="C26" s="42"/>
    </row>
    <row r="27" spans="1:20">
      <c r="C27" s="42"/>
    </row>
    <row r="28" spans="1:20">
      <c r="C28" s="42"/>
    </row>
    <row r="29" spans="1:20">
      <c r="C29" s="42"/>
    </row>
    <row r="30" spans="1:20">
      <c r="C30" s="42"/>
    </row>
    <row r="31" spans="1:20">
      <c r="C31" s="42"/>
    </row>
    <row r="32" spans="1:20">
      <c r="C32" s="42"/>
    </row>
    <row r="33" spans="3:3">
      <c r="C33" s="42"/>
    </row>
    <row r="34" spans="3:3">
      <c r="C34" s="42"/>
    </row>
    <row r="35" spans="3:3">
      <c r="C35" s="42"/>
    </row>
    <row r="36" spans="3:3">
      <c r="C36" s="42"/>
    </row>
    <row r="37" spans="3:3">
      <c r="C37" s="42"/>
    </row>
    <row r="38" spans="3:3">
      <c r="C38" s="42"/>
    </row>
    <row r="39" spans="3:3">
      <c r="C39" s="42"/>
    </row>
    <row r="40" spans="3:3">
      <c r="C40" s="42"/>
    </row>
    <row r="41" spans="3:3">
      <c r="C41" s="42"/>
    </row>
    <row r="42" spans="3:3">
      <c r="C42" s="42"/>
    </row>
    <row r="43" spans="3:3">
      <c r="C43" s="42"/>
    </row>
    <row r="44" spans="3:3">
      <c r="C44" s="42"/>
    </row>
    <row r="45" spans="3:3">
      <c r="C45" s="42"/>
    </row>
    <row r="46" spans="3:3">
      <c r="C46" s="42"/>
    </row>
    <row r="47" spans="3:3">
      <c r="C47" s="42"/>
    </row>
    <row r="48" spans="3:3">
      <c r="C48" s="42"/>
    </row>
    <row r="49" spans="3:3">
      <c r="C49" s="42"/>
    </row>
    <row r="50" spans="3:3">
      <c r="C50" s="42"/>
    </row>
    <row r="51" spans="3:3">
      <c r="C51" s="42"/>
    </row>
    <row r="52" spans="3:3">
      <c r="C52" s="42"/>
    </row>
    <row r="53" spans="3:3">
      <c r="C53" s="42"/>
    </row>
    <row r="54" spans="3:3">
      <c r="C54" s="42"/>
    </row>
    <row r="55" spans="3:3">
      <c r="C55" s="42"/>
    </row>
    <row r="56" spans="3:3">
      <c r="C56" s="42"/>
    </row>
    <row r="57" spans="3:3">
      <c r="C57" s="42"/>
    </row>
    <row r="58" spans="3:3">
      <c r="C58" s="42"/>
    </row>
    <row r="59" spans="3:3">
      <c r="C59" s="42"/>
    </row>
    <row r="60" spans="3:3">
      <c r="C60" s="42"/>
    </row>
    <row r="61" spans="3:3">
      <c r="C61" s="42"/>
    </row>
    <row r="62" spans="3:3">
      <c r="C62" s="42"/>
    </row>
    <row r="63" spans="3:3">
      <c r="C63" s="42"/>
    </row>
    <row r="64" spans="3:3">
      <c r="C64" s="42"/>
    </row>
    <row r="65" spans="3:3">
      <c r="C65" s="42"/>
    </row>
    <row r="66" spans="3:3">
      <c r="C66" s="42"/>
    </row>
    <row r="67" spans="3:3">
      <c r="C67" s="42"/>
    </row>
    <row r="68" spans="3:3">
      <c r="C68" s="42"/>
    </row>
    <row r="69" spans="3:3">
      <c r="C69" s="42"/>
    </row>
  </sheetData>
  <customSheetViews>
    <customSheetView guid="{92B97691-A213-481E-9B20-3BF43CB76868}" scale="60" showPageBreaks="1" fitToPage="1" showRuler="0">
      <selection activeCell="D34" sqref="D34"/>
      <pageMargins left="0.74803149606299213" right="0.74803149606299213" top="0.98425196850393704" bottom="0.98425196850393704" header="0.51181102362204722" footer="0.51181102362204722"/>
      <pageSetup paperSize="9" scale="52" orientation="landscape" horizontalDpi="0" r:id="rId1"/>
      <headerFooter alignWithMargins="0">
        <oddHeader>&amp;CDRAFT - Final Changes</oddHeader>
        <oddFooter>&amp;L&amp;F&amp;R&amp;D &amp;T</oddFooter>
      </headerFooter>
    </customSheetView>
  </customSheetViews>
  <phoneticPr fontId="11" type="noConversion"/>
  <pageMargins left="0.74803149606299213" right="0.74803149606299213" top="0.98425196850393704" bottom="0.98425196850393704" header="0.51181102362204722" footer="0.51181102362204722"/>
  <pageSetup paperSize="9" scale="53" orientation="landscape" r:id="rId2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2"/>
    <pageSetUpPr fitToPage="1"/>
  </sheetPr>
  <dimension ref="A1:AJ25"/>
  <sheetViews>
    <sheetView zoomScaleNormal="100" workbookViewId="0">
      <pane xSplit="1" ySplit="5" topLeftCell="U16" activePane="bottomRight" state="frozen"/>
      <selection activeCell="A40" sqref="A40:G40"/>
      <selection pane="topRight" activeCell="A40" sqref="A40:G40"/>
      <selection pane="bottomLeft" activeCell="A40" sqref="A40:G40"/>
      <selection pane="bottomRight" activeCell="Y30" sqref="Y30"/>
    </sheetView>
  </sheetViews>
  <sheetFormatPr defaultColWidth="8.69140625" defaultRowHeight="15.5"/>
  <cols>
    <col min="1" max="1" width="41.23046875" style="24" customWidth="1"/>
    <col min="2" max="3" width="11.07421875" style="42" customWidth="1"/>
    <col min="4" max="6" width="11.07421875" style="42" hidden="1" customWidth="1"/>
    <col min="7" max="13" width="11.07421875" style="42" customWidth="1"/>
    <col min="14" max="14" width="9.23046875" style="42" customWidth="1"/>
    <col min="15" max="15" width="9.84375" style="42" customWidth="1"/>
    <col min="16" max="22" width="11.07421875" style="42" customWidth="1"/>
    <col min="23" max="23" width="14.53515625" style="42" customWidth="1"/>
    <col min="24" max="24" width="12.69140625" style="42" customWidth="1"/>
    <col min="25" max="25" width="12.4609375" style="42" customWidth="1"/>
    <col min="26" max="26" width="11.15234375" style="42" customWidth="1"/>
    <col min="27" max="27" width="11.921875" style="42" customWidth="1"/>
    <col min="28" max="32" width="11.07421875" style="42" customWidth="1"/>
    <col min="33" max="33" width="11.69140625" style="42" customWidth="1"/>
    <col min="34" max="34" width="11.07421875" style="72" customWidth="1"/>
    <col min="35" max="35" width="8.69140625" style="55"/>
    <col min="36" max="36" width="9.4609375" style="55" bestFit="1" customWidth="1"/>
    <col min="37" max="16384" width="8.69140625" style="55"/>
  </cols>
  <sheetData>
    <row r="1" spans="1:36">
      <c r="A1" s="524" t="s">
        <v>25</v>
      </c>
      <c r="B1" s="524"/>
      <c r="C1" s="524"/>
      <c r="D1" s="524"/>
      <c r="E1" s="524"/>
      <c r="F1" s="524"/>
      <c r="G1" s="524"/>
      <c r="H1" s="524"/>
      <c r="I1" s="524"/>
      <c r="J1" s="524"/>
      <c r="K1" s="524"/>
      <c r="L1" s="524"/>
      <c r="M1" s="524"/>
      <c r="N1" s="524"/>
      <c r="O1" s="524"/>
      <c r="P1" s="524"/>
      <c r="Q1" s="524"/>
      <c r="R1" s="524"/>
      <c r="S1" s="524"/>
      <c r="T1" s="524"/>
      <c r="U1" s="524"/>
      <c r="V1" s="524"/>
      <c r="W1" s="524"/>
      <c r="X1" s="524"/>
      <c r="Y1" s="524"/>
      <c r="Z1" s="524"/>
      <c r="AA1" s="524"/>
      <c r="AB1" s="524"/>
      <c r="AC1" s="524"/>
      <c r="AD1" s="524"/>
      <c r="AE1" s="524"/>
      <c r="AF1" s="524"/>
      <c r="AG1" s="524"/>
      <c r="AH1" s="524"/>
    </row>
    <row r="2" spans="1:36">
      <c r="A2" s="523" t="s">
        <v>210</v>
      </c>
      <c r="B2" s="523"/>
      <c r="C2" s="523"/>
      <c r="D2" s="523"/>
      <c r="E2" s="523"/>
      <c r="F2" s="523"/>
      <c r="G2" s="523"/>
      <c r="H2" s="523"/>
      <c r="I2" s="523"/>
      <c r="J2" s="523"/>
      <c r="K2" s="523"/>
      <c r="L2" s="523"/>
      <c r="M2" s="523"/>
      <c r="N2" s="523"/>
      <c r="O2" s="523"/>
      <c r="P2" s="523"/>
      <c r="Q2" s="523"/>
      <c r="R2" s="523"/>
      <c r="S2" s="523"/>
      <c r="T2" s="523"/>
      <c r="U2" s="523"/>
      <c r="V2" s="523"/>
      <c r="W2" s="523"/>
      <c r="X2" s="523"/>
      <c r="Y2" s="523"/>
      <c r="Z2" s="523"/>
      <c r="AA2" s="523"/>
      <c r="AB2" s="523"/>
      <c r="AC2" s="523"/>
      <c r="AD2" s="523"/>
      <c r="AE2" s="523"/>
      <c r="AF2" s="523"/>
      <c r="AG2" s="523"/>
      <c r="AH2" s="523"/>
    </row>
    <row r="3" spans="1:36" ht="16" thickBot="1"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70"/>
    </row>
    <row r="4" spans="1:36">
      <c r="A4" s="38"/>
      <c r="B4" s="7">
        <v>1</v>
      </c>
      <c r="C4" s="7">
        <f>B4+1</f>
        <v>2</v>
      </c>
      <c r="D4" s="7" t="s">
        <v>7</v>
      </c>
      <c r="E4" s="7" t="s">
        <v>7</v>
      </c>
      <c r="F4" s="7" t="s">
        <v>7</v>
      </c>
      <c r="G4" s="7">
        <f>C4+1</f>
        <v>3</v>
      </c>
      <c r="H4" s="7">
        <f>+G4+1</f>
        <v>4</v>
      </c>
      <c r="I4" s="7">
        <f>+H4+1</f>
        <v>5</v>
      </c>
      <c r="J4" s="7">
        <f t="shared" ref="J4:O4" si="0">+I4+1</f>
        <v>6</v>
      </c>
      <c r="K4" s="7">
        <f t="shared" si="0"/>
        <v>7</v>
      </c>
      <c r="L4" s="7">
        <f t="shared" si="0"/>
        <v>8</v>
      </c>
      <c r="M4" s="7">
        <f t="shared" si="0"/>
        <v>9</v>
      </c>
      <c r="N4" s="7">
        <f t="shared" si="0"/>
        <v>10</v>
      </c>
      <c r="O4" s="7">
        <f t="shared" si="0"/>
        <v>11</v>
      </c>
      <c r="P4" s="7">
        <f t="shared" ref="P4:X4" si="1">+O4+1</f>
        <v>12</v>
      </c>
      <c r="Q4" s="7">
        <f t="shared" si="1"/>
        <v>13</v>
      </c>
      <c r="R4" s="7">
        <f t="shared" si="1"/>
        <v>14</v>
      </c>
      <c r="S4" s="7">
        <f t="shared" si="1"/>
        <v>15</v>
      </c>
      <c r="T4" s="7">
        <f t="shared" si="1"/>
        <v>16</v>
      </c>
      <c r="U4" s="7">
        <f t="shared" si="1"/>
        <v>17</v>
      </c>
      <c r="V4" s="7">
        <f t="shared" si="1"/>
        <v>18</v>
      </c>
      <c r="W4" s="7">
        <f t="shared" si="1"/>
        <v>19</v>
      </c>
      <c r="X4" s="287">
        <f t="shared" si="1"/>
        <v>20</v>
      </c>
      <c r="Y4" s="7">
        <f t="shared" ref="Y4:AD4" si="2">+X4+1</f>
        <v>21</v>
      </c>
      <c r="Z4" s="7">
        <f t="shared" si="2"/>
        <v>22</v>
      </c>
      <c r="AA4" s="7">
        <f t="shared" si="2"/>
        <v>23</v>
      </c>
      <c r="AB4" s="7">
        <f t="shared" si="2"/>
        <v>24</v>
      </c>
      <c r="AC4" s="7">
        <f t="shared" si="2"/>
        <v>25</v>
      </c>
      <c r="AD4" s="287">
        <f t="shared" si="2"/>
        <v>26</v>
      </c>
      <c r="AE4" s="287">
        <f>+AD4+1</f>
        <v>27</v>
      </c>
      <c r="AF4" s="287">
        <f>+AE4+1</f>
        <v>28</v>
      </c>
      <c r="AG4" s="287">
        <f>+AF4+1</f>
        <v>29</v>
      </c>
      <c r="AH4" s="287">
        <f>+AG4+1</f>
        <v>30</v>
      </c>
    </row>
    <row r="5" spans="1:36" ht="172.5" customHeight="1" thickBot="1">
      <c r="A5" s="436"/>
      <c r="B5" s="440" t="s">
        <v>9</v>
      </c>
      <c r="C5" s="440" t="s">
        <v>111</v>
      </c>
      <c r="D5" s="440" t="s">
        <v>38</v>
      </c>
      <c r="E5" s="440" t="s">
        <v>39</v>
      </c>
      <c r="F5" s="440" t="s">
        <v>40</v>
      </c>
      <c r="G5" s="440" t="s">
        <v>20</v>
      </c>
      <c r="H5" s="440" t="s">
        <v>43</v>
      </c>
      <c r="I5" s="440" t="s">
        <v>44</v>
      </c>
      <c r="J5" s="440" t="s">
        <v>101</v>
      </c>
      <c r="K5" s="440" t="s">
        <v>92</v>
      </c>
      <c r="L5" s="440" t="s">
        <v>110</v>
      </c>
      <c r="M5" s="440" t="s">
        <v>91</v>
      </c>
      <c r="N5" s="440" t="s">
        <v>115</v>
      </c>
      <c r="O5" s="440" t="s">
        <v>116</v>
      </c>
      <c r="P5" s="440" t="s">
        <v>117</v>
      </c>
      <c r="Q5" s="440" t="s">
        <v>130</v>
      </c>
      <c r="R5" s="434" t="s">
        <v>131</v>
      </c>
      <c r="S5" s="434" t="s">
        <v>132</v>
      </c>
      <c r="T5" s="434" t="s">
        <v>160</v>
      </c>
      <c r="U5" s="434" t="s">
        <v>161</v>
      </c>
      <c r="V5" s="434" t="s">
        <v>159</v>
      </c>
      <c r="W5" s="434" t="s">
        <v>164</v>
      </c>
      <c r="X5" s="434" t="s">
        <v>166</v>
      </c>
      <c r="Y5" s="434" t="s">
        <v>185</v>
      </c>
      <c r="Z5" s="434" t="s">
        <v>188</v>
      </c>
      <c r="AA5" s="434" t="s">
        <v>189</v>
      </c>
      <c r="AB5" s="434" t="s">
        <v>221</v>
      </c>
      <c r="AC5" s="434" t="s">
        <v>222</v>
      </c>
      <c r="AD5" s="434" t="s">
        <v>265</v>
      </c>
      <c r="AE5" s="434" t="s">
        <v>285</v>
      </c>
      <c r="AF5" s="434" t="s">
        <v>313</v>
      </c>
      <c r="AG5" s="434" t="s">
        <v>264</v>
      </c>
      <c r="AH5" s="441" t="s">
        <v>26</v>
      </c>
    </row>
    <row r="6" spans="1:36">
      <c r="A6" s="424"/>
      <c r="B6" s="426" t="s">
        <v>16</v>
      </c>
      <c r="C6" s="426" t="s">
        <v>16</v>
      </c>
      <c r="D6" s="426" t="s">
        <v>16</v>
      </c>
      <c r="E6" s="426" t="s">
        <v>16</v>
      </c>
      <c r="F6" s="426" t="s">
        <v>16</v>
      </c>
      <c r="G6" s="426" t="s">
        <v>16</v>
      </c>
      <c r="H6" s="426" t="s">
        <v>16</v>
      </c>
      <c r="I6" s="426" t="s">
        <v>16</v>
      </c>
      <c r="J6" s="426" t="s">
        <v>16</v>
      </c>
      <c r="K6" s="426" t="s">
        <v>16</v>
      </c>
      <c r="L6" s="426" t="s">
        <v>16</v>
      </c>
      <c r="M6" s="426" t="s">
        <v>16</v>
      </c>
      <c r="N6" s="426" t="s">
        <v>16</v>
      </c>
      <c r="O6" s="426" t="s">
        <v>16</v>
      </c>
      <c r="P6" s="426" t="s">
        <v>16</v>
      </c>
      <c r="Q6" s="426" t="s">
        <v>16</v>
      </c>
      <c r="R6" s="426" t="s">
        <v>16</v>
      </c>
      <c r="S6" s="426" t="s">
        <v>16</v>
      </c>
      <c r="T6" s="426" t="s">
        <v>16</v>
      </c>
      <c r="U6" s="426" t="s">
        <v>16</v>
      </c>
      <c r="V6" s="426" t="s">
        <v>16</v>
      </c>
      <c r="W6" s="426" t="s">
        <v>16</v>
      </c>
      <c r="X6" s="426" t="s">
        <v>16</v>
      </c>
      <c r="Y6" s="426" t="s">
        <v>16</v>
      </c>
      <c r="Z6" s="426" t="s">
        <v>16</v>
      </c>
      <c r="AA6" s="426" t="s">
        <v>16</v>
      </c>
      <c r="AB6" s="426" t="s">
        <v>16</v>
      </c>
      <c r="AC6" s="426" t="s">
        <v>16</v>
      </c>
      <c r="AD6" s="426" t="s">
        <v>16</v>
      </c>
      <c r="AE6" s="426" t="s">
        <v>16</v>
      </c>
      <c r="AF6" s="426" t="s">
        <v>16</v>
      </c>
      <c r="AG6" s="426" t="s">
        <v>16</v>
      </c>
      <c r="AH6" s="437" t="s">
        <v>16</v>
      </c>
    </row>
    <row r="7" spans="1:36">
      <c r="A7" s="3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73"/>
    </row>
    <row r="8" spans="1:36" s="51" customFormat="1">
      <c r="A8" s="2" t="s">
        <v>21</v>
      </c>
      <c r="B8" s="57">
        <v>0</v>
      </c>
      <c r="C8" s="57">
        <v>0</v>
      </c>
      <c r="D8" s="57">
        <f>0.326-0.326</f>
        <v>0</v>
      </c>
      <c r="E8" s="57">
        <v>0</v>
      </c>
      <c r="F8" s="57">
        <f>0.255894-0.255894</f>
        <v>0</v>
      </c>
      <c r="G8" s="202">
        <f>0.4443075-0.4443075</f>
        <v>0</v>
      </c>
      <c r="H8" s="96">
        <v>0</v>
      </c>
      <c r="I8" s="96">
        <v>0.66311200000000003</v>
      </c>
      <c r="J8" s="96">
        <v>2.1000000000000001E-2</v>
      </c>
      <c r="K8" s="96"/>
      <c r="L8" s="96"/>
      <c r="M8" s="96"/>
      <c r="N8" s="96"/>
      <c r="O8" s="96"/>
      <c r="P8" s="96">
        <v>0.153</v>
      </c>
      <c r="Q8" s="96"/>
      <c r="R8" s="96"/>
      <c r="S8" s="96">
        <v>0.06</v>
      </c>
      <c r="T8" s="96">
        <v>5.5E-2</v>
      </c>
      <c r="U8" s="96"/>
      <c r="V8" s="96"/>
      <c r="W8" s="96"/>
      <c r="X8" s="96">
        <f>6.56+1.93+6.708</f>
        <v>15.198</v>
      </c>
      <c r="Y8" s="96"/>
      <c r="Z8" s="96"/>
      <c r="AA8" s="96"/>
      <c r="AB8" s="96">
        <v>2.4500000000000001E-2</v>
      </c>
      <c r="AC8" s="96">
        <v>6.4000000000000001E-2</v>
      </c>
      <c r="AD8" s="96">
        <v>0.04</v>
      </c>
      <c r="AE8" s="96">
        <v>5.1220000000000002E-2</v>
      </c>
      <c r="AF8" s="96"/>
      <c r="AG8" s="96">
        <v>5.6834000000000003E-2</v>
      </c>
      <c r="AH8" s="61">
        <f>SUM(B8:AG8)</f>
        <v>16.386665999999998</v>
      </c>
    </row>
    <row r="9" spans="1:36" s="51" customFormat="1">
      <c r="A9" s="2"/>
      <c r="B9" s="57"/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61"/>
    </row>
    <row r="10" spans="1:36" s="51" customFormat="1">
      <c r="A10" s="62" t="s">
        <v>30</v>
      </c>
      <c r="B10" s="98">
        <v>0</v>
      </c>
      <c r="C10" s="98">
        <f>0.306+0.0075</f>
        <v>0.3135</v>
      </c>
      <c r="D10" s="98">
        <f>0.156172-0.156172</f>
        <v>0</v>
      </c>
      <c r="E10" s="98">
        <f>0.162471-0.162471</f>
        <v>0</v>
      </c>
      <c r="F10" s="98">
        <f>0.127947-0.127947</f>
        <v>0</v>
      </c>
      <c r="G10" s="98">
        <v>0.19948500000000002</v>
      </c>
      <c r="H10" s="144">
        <v>0</v>
      </c>
      <c r="I10" s="144">
        <v>1.0796920000000001</v>
      </c>
      <c r="J10" s="144">
        <v>0.59499999999999997</v>
      </c>
      <c r="K10" s="144">
        <v>0.03</v>
      </c>
      <c r="L10" s="144"/>
      <c r="M10" s="144">
        <f>0.1+0.18</f>
        <v>0.28000000000000003</v>
      </c>
      <c r="N10" s="144"/>
      <c r="O10" s="144"/>
      <c r="P10" s="144">
        <v>0.30599999999999999</v>
      </c>
      <c r="Q10" s="144"/>
      <c r="R10" s="144"/>
      <c r="S10" s="144"/>
      <c r="T10" s="144">
        <v>6.7000000000000004E-2</v>
      </c>
      <c r="U10" s="144"/>
      <c r="V10" s="144"/>
      <c r="W10" s="144"/>
      <c r="X10" s="144"/>
      <c r="Y10" s="144"/>
      <c r="Z10" s="144">
        <v>0.15</v>
      </c>
      <c r="AA10" s="144"/>
      <c r="AB10" s="144"/>
      <c r="AC10" s="144"/>
      <c r="AD10" s="144">
        <v>7.8700999999999993E-2</v>
      </c>
      <c r="AE10" s="144">
        <v>6.1463999999999998E-2</v>
      </c>
      <c r="AF10" s="144"/>
      <c r="AG10" s="144"/>
      <c r="AH10" s="61">
        <f>SUM(B10:AG10)</f>
        <v>3.1608419999999997</v>
      </c>
    </row>
    <row r="11" spans="1:36" s="51" customFormat="1">
      <c r="A11" s="2"/>
      <c r="B11" s="57"/>
      <c r="C11" s="96"/>
      <c r="D11" s="96" t="s">
        <v>105</v>
      </c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  <c r="W11" s="96"/>
      <c r="X11" s="96"/>
      <c r="Y11" s="96"/>
      <c r="Z11" s="96"/>
      <c r="AA11" s="96"/>
      <c r="AB11" s="96"/>
      <c r="AC11" s="96"/>
      <c r="AD11" s="96"/>
      <c r="AE11" s="96"/>
      <c r="AF11" s="96"/>
      <c r="AG11" s="96"/>
      <c r="AH11" s="61"/>
    </row>
    <row r="12" spans="1:36">
      <c r="A12" s="2" t="s">
        <v>22</v>
      </c>
      <c r="B12" s="57">
        <v>0.82010499999999997</v>
      </c>
      <c r="C12" s="57">
        <v>0</v>
      </c>
      <c r="D12" s="57">
        <v>0</v>
      </c>
      <c r="E12" s="57">
        <v>0</v>
      </c>
      <c r="F12" s="57">
        <v>0</v>
      </c>
      <c r="G12" s="57">
        <v>0</v>
      </c>
      <c r="H12" s="96">
        <v>5.6000000000000001E-2</v>
      </c>
      <c r="I12" s="96">
        <f>26.333506-15</f>
        <v>11.333506</v>
      </c>
      <c r="J12" s="96">
        <v>3.6379999999999999</v>
      </c>
      <c r="K12" s="96">
        <v>6.6000000000000003E-2</v>
      </c>
      <c r="L12" s="96">
        <v>0.31</v>
      </c>
      <c r="M12" s="96"/>
      <c r="N12" s="96">
        <v>1.1719999999999999</v>
      </c>
      <c r="O12" s="96">
        <v>0.17299999999999999</v>
      </c>
      <c r="P12" s="96">
        <v>0.153</v>
      </c>
      <c r="Q12" s="96"/>
      <c r="R12" s="96"/>
      <c r="S12" s="96"/>
      <c r="T12" s="96">
        <v>4.3999999999999997E-2</v>
      </c>
      <c r="U12" s="96"/>
      <c r="V12" s="96">
        <v>8.9800000000000001E-3</v>
      </c>
      <c r="W12" s="96"/>
      <c r="X12" s="96"/>
      <c r="Y12" s="96"/>
      <c r="Z12" s="96"/>
      <c r="AA12" s="96">
        <f>0.407+0.17</f>
        <v>0.57699999999999996</v>
      </c>
      <c r="AB12" s="96"/>
      <c r="AC12" s="96"/>
      <c r="AD12" s="96">
        <v>9.6110000000000001E-2</v>
      </c>
      <c r="AE12" s="96">
        <v>5.1220000000000002E-2</v>
      </c>
      <c r="AF12" s="96"/>
      <c r="AG12" s="96">
        <v>4.0021000000000001E-2</v>
      </c>
      <c r="AH12" s="61">
        <f>SUM(B12:AG12)</f>
        <v>18.538941999999999</v>
      </c>
      <c r="AI12" s="438"/>
      <c r="AJ12" s="439"/>
    </row>
    <row r="13" spans="1:36">
      <c r="A13" s="2"/>
      <c r="B13" s="57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96"/>
      <c r="AA13" s="96"/>
      <c r="AB13" s="96"/>
      <c r="AC13" s="96"/>
      <c r="AD13" s="96"/>
      <c r="AE13" s="96"/>
      <c r="AF13" s="96"/>
      <c r="AG13" s="96"/>
      <c r="AH13" s="61"/>
      <c r="AI13" s="438"/>
      <c r="AJ13" s="439"/>
    </row>
    <row r="14" spans="1:36" s="51" customFormat="1">
      <c r="A14" s="2" t="s">
        <v>206</v>
      </c>
      <c r="B14" s="57">
        <v>0</v>
      </c>
      <c r="C14" s="57">
        <v>0</v>
      </c>
      <c r="D14" s="57">
        <v>0</v>
      </c>
      <c r="E14" s="57">
        <v>0</v>
      </c>
      <c r="F14" s="57">
        <v>0</v>
      </c>
      <c r="G14" s="57">
        <v>0</v>
      </c>
      <c r="H14" s="96">
        <v>3.5000000000000003E-2</v>
      </c>
      <c r="I14" s="96">
        <v>0.11</v>
      </c>
      <c r="J14" s="96">
        <f>0.012+0.118670033758932</f>
        <v>0.13067003375893199</v>
      </c>
      <c r="K14" s="96"/>
      <c r="L14" s="96"/>
      <c r="M14" s="96"/>
      <c r="N14" s="96"/>
      <c r="O14" s="96"/>
      <c r="P14" s="96">
        <f>0.153+0.0428816262163127</f>
        <v>0.19588162621631269</v>
      </c>
      <c r="Q14" s="96"/>
      <c r="R14" s="96"/>
      <c r="S14" s="96"/>
      <c r="T14" s="96">
        <f>0.028+0.0137483671046489</f>
        <v>4.1748367104648902E-2</v>
      </c>
      <c r="U14" s="96">
        <v>1.5</v>
      </c>
      <c r="V14" s="96"/>
      <c r="W14" s="96">
        <f>0.031528</f>
        <v>3.1528E-2</v>
      </c>
      <c r="X14" s="96"/>
      <c r="Y14" s="96"/>
      <c r="Z14" s="96"/>
      <c r="AA14" s="96"/>
      <c r="AB14" s="96"/>
      <c r="AC14" s="96"/>
      <c r="AD14" s="96">
        <v>0.108684</v>
      </c>
      <c r="AE14" s="96">
        <v>6.1463999999999998E-2</v>
      </c>
      <c r="AF14" s="96"/>
      <c r="AG14" s="96">
        <v>4.0585000000000003E-2</v>
      </c>
      <c r="AH14" s="61">
        <f>SUM(B14:AG14)</f>
        <v>2.255561027079894</v>
      </c>
    </row>
    <row r="15" spans="1:36">
      <c r="A15" s="1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61"/>
    </row>
    <row r="16" spans="1:36" s="51" customFormat="1">
      <c r="A16" s="2" t="s">
        <v>24</v>
      </c>
      <c r="B16" s="57">
        <v>0</v>
      </c>
      <c r="C16" s="57">
        <v>0</v>
      </c>
      <c r="D16" s="57">
        <v>0</v>
      </c>
      <c r="E16" s="57">
        <v>0</v>
      </c>
      <c r="F16" s="57">
        <v>0</v>
      </c>
      <c r="G16" s="57">
        <v>0</v>
      </c>
      <c r="H16" s="96">
        <v>0</v>
      </c>
      <c r="I16" s="96">
        <v>0</v>
      </c>
      <c r="J16" s="96">
        <v>3.9E-2</v>
      </c>
      <c r="K16" s="96"/>
      <c r="L16" s="96"/>
      <c r="M16" s="96"/>
      <c r="N16" s="96"/>
      <c r="O16" s="96"/>
      <c r="P16" s="96">
        <v>0.153</v>
      </c>
      <c r="Q16" s="96"/>
      <c r="R16" s="96">
        <v>0.83699999999999997</v>
      </c>
      <c r="S16" s="96"/>
      <c r="T16" s="96">
        <v>3.6999999999999998E-2</v>
      </c>
      <c r="U16" s="96"/>
      <c r="V16" s="96"/>
      <c r="W16" s="96"/>
      <c r="X16" s="96"/>
      <c r="Y16" s="96"/>
      <c r="Z16" s="96"/>
      <c r="AA16" s="96"/>
      <c r="AB16" s="96"/>
      <c r="AC16" s="96"/>
      <c r="AD16" s="96">
        <v>5.8376999999999998E-2</v>
      </c>
      <c r="AE16" s="96">
        <v>5.1220000000000002E-2</v>
      </c>
      <c r="AF16" s="96"/>
      <c r="AG16" s="96">
        <v>2.8760000000000001E-3</v>
      </c>
      <c r="AH16" s="61">
        <f>SUM(B16:AG16)</f>
        <v>1.1784729999999999</v>
      </c>
    </row>
    <row r="17" spans="1:34" s="51" customFormat="1">
      <c r="A17" s="2"/>
      <c r="B17" s="57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96"/>
      <c r="R17" s="96"/>
      <c r="S17" s="96"/>
      <c r="T17" s="96"/>
      <c r="U17" s="96"/>
      <c r="V17" s="96"/>
      <c r="W17" s="96"/>
      <c r="X17" s="96"/>
      <c r="Y17" s="96"/>
      <c r="Z17" s="96"/>
      <c r="AA17" s="96"/>
      <c r="AB17" s="96"/>
      <c r="AC17" s="96"/>
      <c r="AD17" s="96"/>
      <c r="AE17" s="96"/>
      <c r="AF17" s="96"/>
      <c r="AG17" s="96"/>
      <c r="AH17" s="61"/>
    </row>
    <row r="18" spans="1:34" ht="14.5" customHeight="1">
      <c r="A18" s="2" t="s">
        <v>23</v>
      </c>
      <c r="B18" s="96">
        <v>0</v>
      </c>
      <c r="C18" s="96">
        <v>0</v>
      </c>
      <c r="D18" s="96">
        <v>0</v>
      </c>
      <c r="E18" s="96">
        <v>0</v>
      </c>
      <c r="F18" s="96">
        <v>0</v>
      </c>
      <c r="G18" s="96">
        <v>0.26295750000000001</v>
      </c>
      <c r="H18" s="96">
        <v>0</v>
      </c>
      <c r="I18" s="96">
        <v>0</v>
      </c>
      <c r="J18" s="96">
        <v>0</v>
      </c>
      <c r="K18" s="96"/>
      <c r="L18" s="96"/>
      <c r="M18" s="96"/>
      <c r="N18" s="96"/>
      <c r="O18" s="96"/>
      <c r="P18" s="96">
        <v>0</v>
      </c>
      <c r="Q18" s="96">
        <f>3.832+0.271704</f>
        <v>4.1037039999999996</v>
      </c>
      <c r="R18" s="96"/>
      <c r="S18" s="96"/>
      <c r="T18" s="96">
        <v>1.2999999999999999E-2</v>
      </c>
      <c r="U18" s="96"/>
      <c r="V18" s="96"/>
      <c r="W18" s="96"/>
      <c r="X18" s="96"/>
      <c r="Y18" s="96"/>
      <c r="Z18" s="96"/>
      <c r="AA18" s="96"/>
      <c r="AB18" s="96"/>
      <c r="AC18" s="96"/>
      <c r="AD18" s="96">
        <v>3.5000000000000003E-2</v>
      </c>
      <c r="AE18" s="96">
        <v>5.5004999999999998E-2</v>
      </c>
      <c r="AF18" s="96"/>
      <c r="AG18" s="96">
        <v>3.2859999999999999E-3</v>
      </c>
      <c r="AH18" s="61">
        <f>SUM(B18:AG18)</f>
        <v>4.4729524999999999</v>
      </c>
    </row>
    <row r="19" spans="1:34">
      <c r="A19" s="97"/>
      <c r="B19" s="96"/>
      <c r="C19" s="96"/>
      <c r="D19" s="96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  <c r="S19" s="96"/>
      <c r="T19" s="96"/>
      <c r="U19" s="96"/>
      <c r="V19" s="96"/>
      <c r="W19" s="96"/>
      <c r="X19" s="96"/>
      <c r="Y19" s="96"/>
      <c r="Z19" s="96"/>
      <c r="AA19" s="96"/>
      <c r="AB19" s="96"/>
      <c r="AC19" s="96"/>
      <c r="AD19" s="96"/>
      <c r="AE19" s="96"/>
      <c r="AF19" s="96"/>
      <c r="AG19" s="96"/>
      <c r="AH19" s="61"/>
    </row>
    <row r="20" spans="1:34">
      <c r="A20" s="97" t="s">
        <v>207</v>
      </c>
      <c r="B20" s="57">
        <v>0</v>
      </c>
      <c r="C20" s="57">
        <v>0</v>
      </c>
      <c r="D20" s="57">
        <v>0</v>
      </c>
      <c r="E20" s="57">
        <f>0.356728+0.011823-0.368551</f>
        <v>0</v>
      </c>
      <c r="F20" s="57">
        <v>0</v>
      </c>
      <c r="G20" s="202">
        <f>0.4443075-0.4443075</f>
        <v>0</v>
      </c>
      <c r="H20" s="96">
        <v>0</v>
      </c>
      <c r="I20" s="96">
        <v>4.2453399999999997</v>
      </c>
      <c r="J20" s="96">
        <f>0.423-0.118670033758932</f>
        <v>0.30432996624106801</v>
      </c>
      <c r="K20" s="96"/>
      <c r="L20" s="96"/>
      <c r="M20" s="96"/>
      <c r="N20" s="96"/>
      <c r="O20" s="96"/>
      <c r="P20" s="96">
        <f>0.153-0.0428816262163127</f>
        <v>0.1101183737836873</v>
      </c>
      <c r="Q20" s="96"/>
      <c r="R20" s="96"/>
      <c r="S20" s="96"/>
      <c r="T20" s="96">
        <f>0.049-0.0137483671046489</f>
        <v>3.5251632895351104E-2</v>
      </c>
      <c r="U20" s="96"/>
      <c r="V20" s="96"/>
      <c r="W20" s="96"/>
      <c r="X20" s="96"/>
      <c r="Y20" s="96">
        <v>0.06</v>
      </c>
      <c r="Z20" s="96"/>
      <c r="AA20" s="96"/>
      <c r="AB20" s="96"/>
      <c r="AC20" s="96">
        <v>0.4</v>
      </c>
      <c r="AD20" s="96">
        <v>0.124018</v>
      </c>
      <c r="AE20" s="96">
        <v>5.1220000000000002E-2</v>
      </c>
      <c r="AF20" s="96">
        <v>0.52500000000000002</v>
      </c>
      <c r="AG20" s="96">
        <v>1.3990000000000001E-3</v>
      </c>
      <c r="AH20" s="61">
        <f>SUM(B20:AG20)</f>
        <v>5.8566769729201065</v>
      </c>
    </row>
    <row r="21" spans="1:34" ht="16" thickBot="1">
      <c r="A21" s="66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39"/>
    </row>
    <row r="22" spans="1:34" ht="16" thickBot="1">
      <c r="A22" s="40" t="s">
        <v>0</v>
      </c>
      <c r="B22" s="60">
        <f t="shared" ref="B22:AH22" si="3">+B10+B20+B16+B18+B14+B12+B8</f>
        <v>0.82010499999999997</v>
      </c>
      <c r="C22" s="60">
        <f t="shared" si="3"/>
        <v>0.3135</v>
      </c>
      <c r="D22" s="60">
        <f t="shared" si="3"/>
        <v>0</v>
      </c>
      <c r="E22" s="60">
        <f t="shared" si="3"/>
        <v>0</v>
      </c>
      <c r="F22" s="60">
        <f t="shared" si="3"/>
        <v>0</v>
      </c>
      <c r="G22" s="60">
        <f t="shared" si="3"/>
        <v>0.46244250000000003</v>
      </c>
      <c r="H22" s="145">
        <f t="shared" si="3"/>
        <v>9.0999999999999998E-2</v>
      </c>
      <c r="I22" s="145">
        <f t="shared" si="3"/>
        <v>17.431650000000001</v>
      </c>
      <c r="J22" s="145">
        <f t="shared" si="3"/>
        <v>4.7279999999999998</v>
      </c>
      <c r="K22" s="145">
        <f t="shared" si="3"/>
        <v>9.6000000000000002E-2</v>
      </c>
      <c r="L22" s="145">
        <f t="shared" si="3"/>
        <v>0.31</v>
      </c>
      <c r="M22" s="145">
        <f t="shared" si="3"/>
        <v>0.28000000000000003</v>
      </c>
      <c r="N22" s="145">
        <f t="shared" si="3"/>
        <v>1.1719999999999999</v>
      </c>
      <c r="O22" s="145">
        <f t="shared" si="3"/>
        <v>0.17299999999999999</v>
      </c>
      <c r="P22" s="145">
        <f t="shared" si="3"/>
        <v>1.071</v>
      </c>
      <c r="Q22" s="145">
        <f t="shared" si="3"/>
        <v>4.1037039999999996</v>
      </c>
      <c r="R22" s="145">
        <f t="shared" si="3"/>
        <v>0.83699999999999997</v>
      </c>
      <c r="S22" s="145">
        <f t="shared" si="3"/>
        <v>0.06</v>
      </c>
      <c r="T22" s="145">
        <f t="shared" si="3"/>
        <v>0.29300000000000004</v>
      </c>
      <c r="U22" s="145">
        <f t="shared" si="3"/>
        <v>1.5</v>
      </c>
      <c r="V22" s="145">
        <f t="shared" si="3"/>
        <v>8.9800000000000001E-3</v>
      </c>
      <c r="W22" s="145">
        <f t="shared" si="3"/>
        <v>3.1528E-2</v>
      </c>
      <c r="X22" s="145">
        <f t="shared" si="3"/>
        <v>15.198</v>
      </c>
      <c r="Y22" s="145">
        <f t="shared" si="3"/>
        <v>0.06</v>
      </c>
      <c r="Z22" s="145">
        <f t="shared" si="3"/>
        <v>0.15</v>
      </c>
      <c r="AA22" s="145">
        <f t="shared" si="3"/>
        <v>0.57699999999999996</v>
      </c>
      <c r="AB22" s="145">
        <f t="shared" si="3"/>
        <v>2.4500000000000001E-2</v>
      </c>
      <c r="AC22" s="145">
        <f t="shared" si="3"/>
        <v>0.46400000000000002</v>
      </c>
      <c r="AD22" s="145">
        <f t="shared" si="3"/>
        <v>0.54089000000000009</v>
      </c>
      <c r="AE22" s="145">
        <f t="shared" si="3"/>
        <v>0.38281299999999996</v>
      </c>
      <c r="AF22" s="145">
        <f t="shared" si="3"/>
        <v>0.52500000000000002</v>
      </c>
      <c r="AG22" s="145">
        <f t="shared" si="3"/>
        <v>0.14500099999999999</v>
      </c>
      <c r="AH22" s="145">
        <f t="shared" si="3"/>
        <v>51.850113499999999</v>
      </c>
    </row>
    <row r="23" spans="1:34"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71"/>
    </row>
    <row r="24" spans="1:34" ht="46.5">
      <c r="Q24" s="42" t="s">
        <v>308</v>
      </c>
      <c r="X24" s="442" t="s">
        <v>323</v>
      </c>
    </row>
    <row r="25" spans="1:34">
      <c r="A25" s="24" t="s">
        <v>93</v>
      </c>
    </row>
  </sheetData>
  <mergeCells count="2">
    <mergeCell ref="A2:AH2"/>
    <mergeCell ref="A1:AH1"/>
  </mergeCells>
  <phoneticPr fontId="11" type="noConversion"/>
  <printOptions horizontalCentered="1"/>
  <pageMargins left="0.25" right="0.25" top="0.75" bottom="0.75" header="0.3" footer="0.3"/>
  <pageSetup paperSize="9" scale="3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45"/>
    <pageSetUpPr fitToPage="1"/>
  </sheetPr>
  <dimension ref="A1:N31"/>
  <sheetViews>
    <sheetView zoomScaleNormal="100" workbookViewId="0">
      <pane xSplit="1" ySplit="6" topLeftCell="B7" activePane="bottomRight" state="frozen"/>
      <selection activeCell="A40" sqref="A40:G40"/>
      <selection pane="topRight" activeCell="A40" sqref="A40:G40"/>
      <selection pane="bottomLeft" activeCell="A40" sqref="A40:G40"/>
      <selection pane="bottomRight" activeCell="J18" sqref="J18"/>
    </sheetView>
  </sheetViews>
  <sheetFormatPr defaultColWidth="7.07421875" defaultRowHeight="15.5"/>
  <cols>
    <col min="1" max="1" width="50.53515625" style="443" bestFit="1" customWidth="1"/>
    <col min="2" max="4" width="15.69140625" style="443" customWidth="1"/>
    <col min="5" max="5" width="18" style="443" customWidth="1"/>
    <col min="6" max="7" width="14.23046875" style="443" customWidth="1"/>
    <col min="8" max="8" width="14.4609375" style="443" customWidth="1"/>
    <col min="9" max="9" width="15.69140625" style="443" customWidth="1"/>
    <col min="10" max="11" width="7.07421875" style="443"/>
    <col min="12" max="12" width="10.07421875" style="443" bestFit="1" customWidth="1"/>
    <col min="13" max="13" width="14.15234375" style="443" customWidth="1"/>
    <col min="14" max="16384" width="7.07421875" style="443"/>
  </cols>
  <sheetData>
    <row r="1" spans="1:14">
      <c r="A1" s="128" t="s">
        <v>34</v>
      </c>
      <c r="B1" s="129"/>
      <c r="C1" s="129"/>
      <c r="D1" s="129"/>
      <c r="E1" s="130"/>
      <c r="F1" s="130"/>
      <c r="G1" s="130"/>
      <c r="H1" s="130"/>
    </row>
    <row r="2" spans="1:14">
      <c r="A2" s="128"/>
      <c r="B2" s="129"/>
      <c r="C2" s="129"/>
      <c r="D2" s="129"/>
      <c r="E2" s="130"/>
      <c r="F2" s="130"/>
      <c r="G2" s="130"/>
      <c r="H2" s="130"/>
    </row>
    <row r="3" spans="1:14">
      <c r="A3" s="128"/>
      <c r="B3" s="129"/>
      <c r="C3" s="129"/>
      <c r="D3" s="129"/>
      <c r="E3" s="130"/>
      <c r="F3" s="130"/>
      <c r="G3" s="130"/>
      <c r="H3" s="130"/>
    </row>
    <row r="4" spans="1:14" ht="16" thickBot="1">
      <c r="A4" s="128"/>
      <c r="B4" s="129"/>
      <c r="C4" s="129"/>
      <c r="D4" s="129"/>
      <c r="E4" s="130"/>
      <c r="F4" s="130"/>
      <c r="G4" s="130"/>
      <c r="H4" s="130"/>
    </row>
    <row r="5" spans="1:14">
      <c r="A5" s="243"/>
      <c r="B5" s="244">
        <v>1</v>
      </c>
      <c r="C5" s="375">
        <f>B5+1</f>
        <v>2</v>
      </c>
      <c r="D5" s="375">
        <f t="shared" ref="D5:I5" si="0">C5+1</f>
        <v>3</v>
      </c>
      <c r="E5" s="375">
        <f t="shared" si="0"/>
        <v>4</v>
      </c>
      <c r="F5" s="375">
        <f t="shared" si="0"/>
        <v>5</v>
      </c>
      <c r="G5" s="375">
        <f t="shared" si="0"/>
        <v>6</v>
      </c>
      <c r="H5" s="375">
        <f t="shared" si="0"/>
        <v>7</v>
      </c>
      <c r="I5" s="375">
        <f t="shared" si="0"/>
        <v>8</v>
      </c>
    </row>
    <row r="6" spans="1:14" ht="96.5" customHeight="1" thickBot="1">
      <c r="A6" s="150"/>
      <c r="B6" s="448" t="s">
        <v>198</v>
      </c>
      <c r="C6" s="448" t="s">
        <v>272</v>
      </c>
      <c r="D6" s="449" t="s">
        <v>295</v>
      </c>
      <c r="E6" s="449" t="s">
        <v>296</v>
      </c>
      <c r="F6" s="449" t="s">
        <v>256</v>
      </c>
      <c r="G6" s="449" t="s">
        <v>298</v>
      </c>
      <c r="H6" s="449" t="s">
        <v>328</v>
      </c>
      <c r="I6" s="450" t="s">
        <v>240</v>
      </c>
    </row>
    <row r="7" spans="1:14" ht="18" customHeight="1">
      <c r="A7" s="444" t="s">
        <v>7</v>
      </c>
      <c r="B7" s="451" t="s">
        <v>16</v>
      </c>
      <c r="C7" s="451" t="s">
        <v>16</v>
      </c>
      <c r="D7" s="451" t="s">
        <v>16</v>
      </c>
      <c r="E7" s="452" t="s">
        <v>16</v>
      </c>
      <c r="F7" s="452" t="s">
        <v>16</v>
      </c>
      <c r="G7" s="452" t="s">
        <v>16</v>
      </c>
      <c r="H7" s="452" t="s">
        <v>16</v>
      </c>
      <c r="I7" s="453" t="s">
        <v>16</v>
      </c>
    </row>
    <row r="8" spans="1:14" ht="16.5" customHeight="1">
      <c r="A8" s="444"/>
      <c r="B8" s="445"/>
      <c r="C8" s="445"/>
      <c r="D8" s="445"/>
      <c r="E8" s="446"/>
      <c r="F8" s="446"/>
      <c r="G8" s="446"/>
      <c r="H8" s="446"/>
      <c r="I8" s="447"/>
    </row>
    <row r="9" spans="1:14">
      <c r="A9" s="151" t="s">
        <v>21</v>
      </c>
      <c r="B9" s="155">
        <v>98.913677000000007</v>
      </c>
      <c r="C9" s="155"/>
      <c r="D9" s="155">
        <v>1.7405330000000001</v>
      </c>
      <c r="E9" s="132">
        <v>1.3298620799999981</v>
      </c>
      <c r="F9" s="132">
        <f>SUM(B9:E9)</f>
        <v>101.98407208</v>
      </c>
      <c r="G9" s="132">
        <v>4.2019000000000001E-2</v>
      </c>
      <c r="H9" s="132"/>
      <c r="I9" s="220">
        <f>SUM(F9:H9)</f>
        <v>102.02609108</v>
      </c>
      <c r="L9" s="238"/>
      <c r="M9" s="238"/>
      <c r="N9" s="238"/>
    </row>
    <row r="10" spans="1:14">
      <c r="A10" s="152"/>
      <c r="B10" s="156"/>
      <c r="C10" s="156"/>
      <c r="D10" s="155"/>
      <c r="E10" s="134"/>
      <c r="F10" s="132"/>
      <c r="G10" s="132"/>
      <c r="H10" s="132"/>
      <c r="I10" s="220"/>
      <c r="L10" s="238"/>
      <c r="M10" s="238"/>
      <c r="N10" s="238"/>
    </row>
    <row r="11" spans="1:14">
      <c r="A11" s="151" t="s">
        <v>30</v>
      </c>
      <c r="B11" s="155">
        <v>130.79613499999999</v>
      </c>
      <c r="C11" s="155">
        <v>-0.21</v>
      </c>
      <c r="D11" s="181">
        <v>2.0018760000000002</v>
      </c>
      <c r="E11" s="132">
        <v>1.1904571199999907</v>
      </c>
      <c r="F11" s="132">
        <f>SUM(B11:E11)</f>
        <v>133.77846811999999</v>
      </c>
      <c r="G11" s="132">
        <v>5.3444999999999999E-2</v>
      </c>
      <c r="H11" s="132"/>
      <c r="I11" s="220">
        <f>SUM(F11:H11)</f>
        <v>133.83191312</v>
      </c>
      <c r="L11" s="238"/>
      <c r="M11" s="238"/>
      <c r="N11" s="238"/>
    </row>
    <row r="12" spans="1:14">
      <c r="A12" s="153"/>
      <c r="B12" s="157"/>
      <c r="C12" s="157"/>
      <c r="D12" s="155"/>
      <c r="E12" s="134"/>
      <c r="F12" s="132"/>
      <c r="G12" s="132"/>
      <c r="H12" s="132"/>
      <c r="I12" s="220"/>
      <c r="L12" s="238"/>
      <c r="M12" s="238"/>
      <c r="N12" s="238"/>
    </row>
    <row r="13" spans="1:14">
      <c r="A13" s="151" t="s">
        <v>22</v>
      </c>
      <c r="B13" s="155">
        <v>73.134610999999978</v>
      </c>
      <c r="C13" s="155"/>
      <c r="D13" s="385">
        <v>1.4862109999999999</v>
      </c>
      <c r="E13" s="132">
        <v>0.87358091999999488</v>
      </c>
      <c r="F13" s="132">
        <f>SUM(B13:E13)</f>
        <v>75.49440291999997</v>
      </c>
      <c r="G13" s="132">
        <v>3.7558000000000001E-2</v>
      </c>
      <c r="H13" s="132"/>
      <c r="I13" s="220">
        <f>SUM(F13:H13)</f>
        <v>75.531960919999975</v>
      </c>
      <c r="L13" s="238"/>
      <c r="M13" s="238"/>
      <c r="N13" s="238"/>
    </row>
    <row r="14" spans="1:14">
      <c r="A14" s="152"/>
      <c r="B14" s="156"/>
      <c r="C14" s="157"/>
      <c r="D14" s="155"/>
      <c r="E14" s="136"/>
      <c r="F14" s="132"/>
      <c r="G14" s="132"/>
      <c r="H14" s="132"/>
      <c r="I14" s="220"/>
    </row>
    <row r="15" spans="1:14">
      <c r="A15" s="151" t="s">
        <v>206</v>
      </c>
      <c r="B15" s="155">
        <v>76.110013330520815</v>
      </c>
      <c r="C15" s="155"/>
      <c r="D15" s="385">
        <v>1.3038540000000001</v>
      </c>
      <c r="E15" s="132">
        <v>1.1476896399999958</v>
      </c>
      <c r="F15" s="132">
        <f>SUM(B15:E15)</f>
        <v>78.561556970520812</v>
      </c>
      <c r="G15" s="132">
        <v>3.0616999999999998E-2</v>
      </c>
      <c r="H15" s="132">
        <v>0.25</v>
      </c>
      <c r="I15" s="220">
        <f>SUM(F15:H15)</f>
        <v>78.842173970520818</v>
      </c>
    </row>
    <row r="16" spans="1:14">
      <c r="A16" s="151"/>
      <c r="B16" s="155"/>
      <c r="C16" s="155"/>
      <c r="D16" s="155"/>
      <c r="E16" s="134"/>
      <c r="F16" s="132"/>
      <c r="G16" s="132"/>
      <c r="H16" s="132"/>
      <c r="I16" s="220"/>
    </row>
    <row r="17" spans="1:14">
      <c r="A17" s="151" t="s">
        <v>24</v>
      </c>
      <c r="B17" s="155">
        <v>70.708477000000016</v>
      </c>
      <c r="C17" s="155"/>
      <c r="D17" s="155">
        <v>1.1229039999999999</v>
      </c>
      <c r="E17" s="132">
        <v>1.2278265200000078</v>
      </c>
      <c r="F17" s="132">
        <f>SUM(B17:E17)</f>
        <v>73.059207520000029</v>
      </c>
      <c r="G17" s="132">
        <v>2.2131000000000001E-2</v>
      </c>
      <c r="H17" s="132"/>
      <c r="I17" s="220">
        <f>SUM(F17:H17)</f>
        <v>73.081338520000031</v>
      </c>
      <c r="N17" s="443" t="s">
        <v>7</v>
      </c>
    </row>
    <row r="18" spans="1:14">
      <c r="A18" s="152"/>
      <c r="B18" s="156"/>
      <c r="C18" s="156"/>
      <c r="D18" s="155"/>
      <c r="E18" s="132"/>
      <c r="F18" s="132"/>
      <c r="G18" s="132"/>
      <c r="H18" s="132"/>
      <c r="I18" s="220"/>
    </row>
    <row r="19" spans="1:14" s="311" customFormat="1">
      <c r="A19" s="151" t="s">
        <v>23</v>
      </c>
      <c r="B19" s="181">
        <v>33.454324</v>
      </c>
      <c r="C19" s="181"/>
      <c r="D19" s="181">
        <v>0.39609100000000003</v>
      </c>
      <c r="E19" s="132">
        <v>0.24241500000000116</v>
      </c>
      <c r="F19" s="132">
        <f>SUM(B19:E19)</f>
        <v>34.092829999999999</v>
      </c>
      <c r="G19" s="132">
        <v>7.979E-3</v>
      </c>
      <c r="H19" s="132"/>
      <c r="I19" s="220">
        <f>SUM(F19:H19)</f>
        <v>34.100808999999998</v>
      </c>
    </row>
    <row r="20" spans="1:14" s="311" customFormat="1">
      <c r="A20" s="345"/>
      <c r="B20" s="346"/>
      <c r="C20" s="346"/>
      <c r="D20" s="181"/>
      <c r="E20" s="134"/>
      <c r="F20" s="132"/>
      <c r="G20" s="347"/>
      <c r="H20" s="347"/>
      <c r="I20" s="348"/>
    </row>
    <row r="21" spans="1:14">
      <c r="A21" s="151" t="s">
        <v>207</v>
      </c>
      <c r="B21" s="155">
        <v>63.341377669479201</v>
      </c>
      <c r="C21" s="155"/>
      <c r="D21" s="346">
        <v>1.1225309999999999</v>
      </c>
      <c r="E21" s="182">
        <v>0.58515520000000265</v>
      </c>
      <c r="F21" s="132">
        <f>SUM(B21:E21)</f>
        <v>65.049063869479198</v>
      </c>
      <c r="G21" s="347">
        <v>1.9713999999999999E-2</v>
      </c>
      <c r="H21" s="347"/>
      <c r="I21" s="220">
        <f>SUM(F21:H21)</f>
        <v>65.068777869479192</v>
      </c>
      <c r="L21" s="238"/>
    </row>
    <row r="22" spans="1:14" ht="16" thickBot="1">
      <c r="A22" s="183"/>
      <c r="B22" s="184"/>
      <c r="C22" s="184"/>
      <c r="D22" s="184"/>
      <c r="E22" s="184"/>
      <c r="F22" s="132"/>
      <c r="G22" s="347"/>
      <c r="H22" s="184"/>
      <c r="I22" s="221"/>
    </row>
    <row r="23" spans="1:14" ht="25.5" customHeight="1" thickBot="1">
      <c r="A23" s="154" t="s">
        <v>0</v>
      </c>
      <c r="B23" s="158">
        <f t="shared" ref="B23:I23" si="1">B11+B21+B17+B19+B15+B13+B9</f>
        <v>546.45861500000001</v>
      </c>
      <c r="C23" s="158">
        <f t="shared" si="1"/>
        <v>-0.21</v>
      </c>
      <c r="D23" s="158">
        <f t="shared" si="1"/>
        <v>9.1739999999999995</v>
      </c>
      <c r="E23" s="159">
        <f t="shared" si="1"/>
        <v>6.5969864799999911</v>
      </c>
      <c r="F23" s="159">
        <f t="shared" si="1"/>
        <v>562.01960148000001</v>
      </c>
      <c r="G23" s="159">
        <f t="shared" si="1"/>
        <v>0.21346300000000001</v>
      </c>
      <c r="H23" s="159">
        <f t="shared" si="1"/>
        <v>0.25</v>
      </c>
      <c r="I23" s="222">
        <f t="shared" si="1"/>
        <v>562.48306447999994</v>
      </c>
    </row>
    <row r="25" spans="1:14">
      <c r="H25" s="285"/>
    </row>
    <row r="26" spans="1:14" ht="60" customHeight="1">
      <c r="B26" s="249"/>
      <c r="C26" s="249"/>
      <c r="D26" s="249"/>
      <c r="E26" s="249"/>
      <c r="H26" s="285"/>
    </row>
    <row r="27" spans="1:14">
      <c r="H27" s="285"/>
    </row>
    <row r="31" spans="1:14" ht="30" customHeight="1">
      <c r="E31" s="311"/>
    </row>
  </sheetData>
  <phoneticPr fontId="11" type="noConversion"/>
  <pageMargins left="0.74803149606299213" right="0.74803149606299213" top="0.98425196850393704" bottom="0.98425196850393704" header="0.51181102362204722" footer="0.51181102362204722"/>
  <pageSetup paperSize="9" scale="74" orientation="landscape" r:id="rId1"/>
  <headerFooter alignWithMargins="0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5"/>
    <pageSetUpPr fitToPage="1"/>
  </sheetPr>
  <dimension ref="A1:I23"/>
  <sheetViews>
    <sheetView zoomScaleNormal="100" workbookViewId="0">
      <selection activeCell="F27" sqref="F27"/>
    </sheetView>
  </sheetViews>
  <sheetFormatPr defaultColWidth="8.84375" defaultRowHeight="15.5"/>
  <cols>
    <col min="1" max="1" width="44.23046875" style="55" customWidth="1"/>
    <col min="2" max="2" width="15.23046875" style="55" customWidth="1"/>
    <col min="3" max="3" width="13.69140625" style="55" customWidth="1"/>
    <col min="4" max="5" width="17.4609375" style="55" customWidth="1"/>
    <col min="6" max="6" width="15.84375" style="55" customWidth="1"/>
    <col min="7" max="7" width="4.69140625" style="55" customWidth="1"/>
    <col min="8" max="16384" width="8.84375" style="55"/>
  </cols>
  <sheetData>
    <row r="1" spans="1:9">
      <c r="A1" s="51" t="s">
        <v>35</v>
      </c>
      <c r="B1" s="51"/>
      <c r="C1" s="51"/>
      <c r="D1" s="51"/>
      <c r="E1" s="51"/>
      <c r="F1" s="51"/>
    </row>
    <row r="2" spans="1:9" ht="16" thickBot="1"/>
    <row r="3" spans="1:9">
      <c r="A3" s="246"/>
      <c r="B3" s="248">
        <v>1</v>
      </c>
      <c r="C3" s="248"/>
      <c r="D3" s="248">
        <v>2</v>
      </c>
      <c r="E3" s="248"/>
      <c r="F3" s="248">
        <v>3</v>
      </c>
    </row>
    <row r="4" spans="1:9" s="137" customFormat="1" ht="99.75" customHeight="1" thickBot="1">
      <c r="A4" s="245"/>
      <c r="B4" s="454" t="s">
        <v>257</v>
      </c>
      <c r="C4" s="455" t="s">
        <v>273</v>
      </c>
      <c r="D4" s="456" t="s">
        <v>276</v>
      </c>
      <c r="E4" s="457" t="s">
        <v>326</v>
      </c>
      <c r="F4" s="458" t="s">
        <v>262</v>
      </c>
    </row>
    <row r="5" spans="1:9" s="137" customFormat="1" ht="16.5" customHeight="1">
      <c r="A5" s="138"/>
      <c r="B5" s="459" t="s">
        <v>16</v>
      </c>
      <c r="C5" s="459" t="s">
        <v>16</v>
      </c>
      <c r="D5" s="460" t="s">
        <v>16</v>
      </c>
      <c r="E5" s="460" t="s">
        <v>16</v>
      </c>
      <c r="F5" s="461" t="s">
        <v>16</v>
      </c>
    </row>
    <row r="6" spans="1:9" s="137" customFormat="1" ht="15" customHeight="1">
      <c r="A6" s="142"/>
      <c r="B6" s="239"/>
      <c r="C6" s="376"/>
      <c r="D6" s="175"/>
      <c r="E6" s="389"/>
      <c r="F6" s="257"/>
    </row>
    <row r="7" spans="1:9" s="51" customFormat="1" ht="13.5" customHeight="1">
      <c r="A7" s="131" t="s">
        <v>21</v>
      </c>
      <c r="B7" s="358">
        <v>31.72</v>
      </c>
      <c r="C7" s="377"/>
      <c r="D7" s="359"/>
      <c r="E7" s="390">
        <v>0.54500000000000004</v>
      </c>
      <c r="F7" s="336">
        <f>SUM(B7:E7)</f>
        <v>32.265000000000001</v>
      </c>
      <c r="H7" s="139"/>
      <c r="I7" s="139"/>
    </row>
    <row r="8" spans="1:9" ht="13.5" customHeight="1">
      <c r="A8" s="133"/>
      <c r="B8" s="360"/>
      <c r="C8" s="378"/>
      <c r="D8" s="361"/>
      <c r="E8" s="391"/>
      <c r="F8" s="337"/>
      <c r="H8" s="140"/>
    </row>
    <row r="9" spans="1:9" s="51" customFormat="1" ht="15.75" customHeight="1">
      <c r="A9" s="131" t="s">
        <v>30</v>
      </c>
      <c r="B9" s="362">
        <v>33.769000000000005</v>
      </c>
      <c r="C9" s="379">
        <v>0.05</v>
      </c>
      <c r="D9" s="363"/>
      <c r="E9" s="392">
        <v>0.63800000000000001</v>
      </c>
      <c r="F9" s="336">
        <f>SUM(B9:E9)</f>
        <v>34.457000000000001</v>
      </c>
      <c r="H9" s="139"/>
      <c r="I9" s="139"/>
    </row>
    <row r="10" spans="1:9" s="51" customFormat="1" ht="15.75" customHeight="1">
      <c r="A10" s="135"/>
      <c r="B10" s="362"/>
      <c r="C10" s="379"/>
      <c r="D10" s="363"/>
      <c r="E10" s="392"/>
      <c r="F10" s="335"/>
      <c r="H10" s="139"/>
      <c r="I10" s="139"/>
    </row>
    <row r="11" spans="1:9" s="51" customFormat="1" ht="13.5" customHeight="1">
      <c r="A11" s="131" t="s">
        <v>22</v>
      </c>
      <c r="B11" s="362">
        <v>22.42</v>
      </c>
      <c r="C11" s="379"/>
      <c r="D11" s="363"/>
      <c r="E11" s="392">
        <v>0.439</v>
      </c>
      <c r="F11" s="336">
        <f>SUM(B11:E11)</f>
        <v>22.859000000000002</v>
      </c>
      <c r="H11" s="139"/>
      <c r="I11" s="139"/>
    </row>
    <row r="12" spans="1:9" ht="13.5" customHeight="1">
      <c r="A12" s="133"/>
      <c r="B12" s="360"/>
      <c r="C12" s="378"/>
      <c r="D12" s="361"/>
      <c r="E12" s="391"/>
      <c r="F12" s="337"/>
      <c r="H12" s="140"/>
    </row>
    <row r="13" spans="1:9" s="51" customFormat="1" ht="13.5" customHeight="1">
      <c r="A13" s="131" t="s">
        <v>206</v>
      </c>
      <c r="B13" s="362">
        <v>27.130162706900002</v>
      </c>
      <c r="C13" s="379"/>
      <c r="D13" s="363"/>
      <c r="E13" s="392">
        <v>0.47199999999999998</v>
      </c>
      <c r="F13" s="336">
        <f>SUM(B13:E13)</f>
        <v>27.602162706900003</v>
      </c>
      <c r="H13" s="139"/>
      <c r="I13" s="139"/>
    </row>
    <row r="14" spans="1:9" ht="13.5" customHeight="1">
      <c r="A14" s="131"/>
      <c r="B14" s="364"/>
      <c r="C14" s="380"/>
      <c r="D14" s="365"/>
      <c r="E14" s="393"/>
      <c r="F14" s="258"/>
      <c r="H14" s="140"/>
    </row>
    <row r="15" spans="1:9" s="51" customFormat="1" ht="13.5" customHeight="1">
      <c r="A15" s="131" t="s">
        <v>24</v>
      </c>
      <c r="B15" s="366">
        <v>21.092000000000002</v>
      </c>
      <c r="C15" s="381"/>
      <c r="D15" s="367"/>
      <c r="E15" s="394">
        <v>0.40400000000000003</v>
      </c>
      <c r="F15" s="336">
        <f>SUM(B15:E15)</f>
        <v>21.496000000000002</v>
      </c>
      <c r="H15" s="139"/>
      <c r="I15" s="139"/>
    </row>
    <row r="16" spans="1:9" ht="13.5" customHeight="1">
      <c r="A16" s="133"/>
      <c r="B16" s="364"/>
      <c r="C16" s="380"/>
      <c r="D16" s="365"/>
      <c r="E16" s="393"/>
      <c r="F16" s="258"/>
      <c r="H16" s="140"/>
    </row>
    <row r="17" spans="1:9" s="51" customFormat="1" ht="14.25" customHeight="1">
      <c r="A17" s="185" t="s">
        <v>23</v>
      </c>
      <c r="B17" s="366">
        <v>4.8109999999999999</v>
      </c>
      <c r="C17" s="381"/>
      <c r="D17" s="367">
        <v>1.4999999999999999E-2</v>
      </c>
      <c r="E17" s="394">
        <v>9.7000000000000003E-2</v>
      </c>
      <c r="F17" s="336">
        <f>SUM(B17:E17)</f>
        <v>4.923</v>
      </c>
      <c r="H17" s="139"/>
      <c r="I17" s="139"/>
    </row>
    <row r="18" spans="1:9" s="51" customFormat="1" ht="14.25" customHeight="1">
      <c r="A18" s="349"/>
      <c r="B18" s="368"/>
      <c r="C18" s="382"/>
      <c r="D18" s="369"/>
      <c r="E18" s="395"/>
      <c r="F18" s="350"/>
      <c r="H18" s="139"/>
      <c r="I18" s="139"/>
    </row>
    <row r="19" spans="1:9" s="51" customFormat="1" ht="13.5" customHeight="1">
      <c r="A19" s="131" t="s">
        <v>208</v>
      </c>
      <c r="B19" s="362">
        <v>21.111837293100002</v>
      </c>
      <c r="C19" s="379"/>
      <c r="D19" s="363"/>
      <c r="E19" s="392">
        <v>0.37</v>
      </c>
      <c r="F19" s="336">
        <f>SUM(B19:E19)</f>
        <v>21.481837293100003</v>
      </c>
      <c r="H19" s="139"/>
      <c r="I19" s="139"/>
    </row>
    <row r="20" spans="1:9" ht="13.5" customHeight="1" thickBot="1">
      <c r="A20" s="186"/>
      <c r="B20" s="259"/>
      <c r="C20" s="259"/>
      <c r="D20" s="259"/>
      <c r="E20" s="259"/>
      <c r="F20" s="259"/>
      <c r="H20" s="140"/>
    </row>
    <row r="21" spans="1:9" s="51" customFormat="1" ht="16" thickBot="1">
      <c r="A21" s="141" t="s">
        <v>0</v>
      </c>
      <c r="B21" s="260">
        <f>B7+B11+B13+B17+B15+B19+B9</f>
        <v>162.05400000000003</v>
      </c>
      <c r="C21" s="260">
        <f>C7+C11+C13+C17+C15+C19+C9</f>
        <v>0.05</v>
      </c>
      <c r="D21" s="260">
        <f>D7+D11+D13+D17+D15+D19+D9</f>
        <v>1.4999999999999999E-2</v>
      </c>
      <c r="E21" s="260">
        <f>E7+E11+E13+E17+E15+E19+E9</f>
        <v>2.9649999999999999</v>
      </c>
      <c r="F21" s="260">
        <f>F7+F11+F13+F17+F15+F19+F9</f>
        <v>165.084</v>
      </c>
      <c r="H21" s="139"/>
      <c r="I21" s="139"/>
    </row>
    <row r="23" spans="1:9">
      <c r="B23" s="249"/>
      <c r="C23" s="249"/>
      <c r="D23" s="249"/>
      <c r="E23" s="249"/>
      <c r="F23" s="249"/>
    </row>
  </sheetData>
  <phoneticPr fontId="11" type="noConversion"/>
  <pageMargins left="0.78740157480314965" right="0.74803149606299213" top="0.98425196850393704" bottom="0.98425196850393704" header="0.51181102362204722" footer="0.51181102362204722"/>
  <pageSetup paperSize="9" scale="87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5"/>
    <pageSetUpPr fitToPage="1"/>
  </sheetPr>
  <dimension ref="A1:G23"/>
  <sheetViews>
    <sheetView zoomScaleNormal="100" workbookViewId="0">
      <selection activeCell="I15" sqref="I15"/>
    </sheetView>
  </sheetViews>
  <sheetFormatPr defaultColWidth="8.84375" defaultRowHeight="15.5"/>
  <cols>
    <col min="1" max="1" width="42" style="55" customWidth="1"/>
    <col min="2" max="3" width="13.23046875" style="55" customWidth="1"/>
    <col min="4" max="6" width="13.07421875" style="55" customWidth="1"/>
    <col min="7" max="7" width="15.23046875" style="55" customWidth="1"/>
    <col min="8" max="16384" width="8.84375" style="55"/>
  </cols>
  <sheetData>
    <row r="1" spans="1:7">
      <c r="A1" s="51" t="s">
        <v>36</v>
      </c>
    </row>
    <row r="2" spans="1:7" ht="16" thickBot="1"/>
    <row r="3" spans="1:7">
      <c r="A3" s="246"/>
      <c r="B3" s="247">
        <v>1</v>
      </c>
      <c r="C3" s="302">
        <f>B3+1</f>
        <v>2</v>
      </c>
      <c r="D3" s="302">
        <f>C3+1</f>
        <v>3</v>
      </c>
      <c r="E3" s="302">
        <f>D3+1</f>
        <v>4</v>
      </c>
      <c r="F3" s="302">
        <f>E3+1</f>
        <v>5</v>
      </c>
      <c r="G3" s="302">
        <f>F3+1</f>
        <v>6</v>
      </c>
    </row>
    <row r="4" spans="1:7" s="137" customFormat="1" ht="139.5" customHeight="1" thickBot="1">
      <c r="A4" s="245"/>
      <c r="B4" s="462" t="s">
        <v>258</v>
      </c>
      <c r="C4" s="463" t="s">
        <v>209</v>
      </c>
      <c r="D4" s="463" t="s">
        <v>212</v>
      </c>
      <c r="E4" s="463" t="s">
        <v>274</v>
      </c>
      <c r="F4" s="463" t="s">
        <v>275</v>
      </c>
      <c r="G4" s="464" t="s">
        <v>241</v>
      </c>
    </row>
    <row r="5" spans="1:7" s="137" customFormat="1" ht="16.5" customHeight="1">
      <c r="A5" s="138"/>
      <c r="B5" s="465" t="s">
        <v>16</v>
      </c>
      <c r="C5" s="466" t="s">
        <v>16</v>
      </c>
      <c r="D5" s="466" t="s">
        <v>16</v>
      </c>
      <c r="E5" s="466" t="s">
        <v>16</v>
      </c>
      <c r="F5" s="466" t="s">
        <v>16</v>
      </c>
      <c r="G5" s="467" t="s">
        <v>16</v>
      </c>
    </row>
    <row r="6" spans="1:7" s="137" customFormat="1" ht="16.5" customHeight="1">
      <c r="A6" s="142"/>
      <c r="B6" s="239"/>
      <c r="C6" s="255"/>
      <c r="D6" s="255"/>
      <c r="E6" s="255"/>
      <c r="F6" s="255"/>
      <c r="G6" s="175"/>
    </row>
    <row r="7" spans="1:7" ht="16.5" customHeight="1">
      <c r="A7" s="2" t="s">
        <v>21</v>
      </c>
      <c r="B7" s="326">
        <v>28.598665999999998</v>
      </c>
      <c r="C7" s="327">
        <v>3.4000000000000002E-2</v>
      </c>
      <c r="D7" s="328">
        <v>0.82099999999999995</v>
      </c>
      <c r="E7" s="328">
        <v>3.5389999999999998E-2</v>
      </c>
      <c r="F7" s="328"/>
      <c r="G7" s="306">
        <f>SUM(B7:F7)</f>
        <v>29.489055999999998</v>
      </c>
    </row>
    <row r="8" spans="1:7" ht="13.5" customHeight="1">
      <c r="A8" s="2"/>
      <c r="B8" s="329"/>
      <c r="C8" s="330"/>
      <c r="D8" s="331"/>
      <c r="E8" s="331"/>
      <c r="F8" s="331"/>
      <c r="G8" s="307"/>
    </row>
    <row r="9" spans="1:7" ht="13.5" customHeight="1">
      <c r="A9" s="2" t="s">
        <v>30</v>
      </c>
      <c r="B9" s="326">
        <v>27.380989999999997</v>
      </c>
      <c r="C9" s="327"/>
      <c r="D9" s="328">
        <v>0.80600000000000005</v>
      </c>
      <c r="E9" s="328">
        <v>7.7710000000000001E-2</v>
      </c>
      <c r="F9" s="328"/>
      <c r="G9" s="306">
        <f>SUM(B9:F9)</f>
        <v>28.264699999999998</v>
      </c>
    </row>
    <row r="10" spans="1:7" ht="13.5" customHeight="1">
      <c r="A10" s="1"/>
      <c r="B10" s="332"/>
      <c r="C10" s="333"/>
      <c r="D10" s="334"/>
      <c r="E10" s="334"/>
      <c r="F10" s="334"/>
      <c r="G10" s="308"/>
    </row>
    <row r="11" spans="1:7" ht="16.5" customHeight="1">
      <c r="A11" s="2" t="s">
        <v>22</v>
      </c>
      <c r="B11" s="326">
        <v>26.07592</v>
      </c>
      <c r="C11" s="327"/>
      <c r="D11" s="328">
        <v>0.73199999999999998</v>
      </c>
      <c r="E11" s="328">
        <v>2.4080000000000001E-2</v>
      </c>
      <c r="F11" s="328">
        <v>-0.50900000000000001</v>
      </c>
      <c r="G11" s="306">
        <f>SUM(B11:F11)</f>
        <v>26.323</v>
      </c>
    </row>
    <row r="12" spans="1:7" ht="13.5" customHeight="1">
      <c r="A12" s="2"/>
      <c r="B12" s="329"/>
      <c r="C12" s="330"/>
      <c r="D12" s="331"/>
      <c r="E12" s="331"/>
      <c r="F12" s="331"/>
      <c r="G12" s="307"/>
    </row>
    <row r="13" spans="1:7" ht="18" customHeight="1">
      <c r="A13" s="2" t="s">
        <v>206</v>
      </c>
      <c r="B13" s="326">
        <v>20.160250244454392</v>
      </c>
      <c r="C13" s="327">
        <v>-0.17299999999999999</v>
      </c>
      <c r="D13" s="328">
        <v>0.60399999999999998</v>
      </c>
      <c r="E13" s="328">
        <v>2.7390000000000001E-2</v>
      </c>
      <c r="F13" s="328">
        <v>0.50900000000000001</v>
      </c>
      <c r="G13" s="306">
        <f>SUM(B13:F13)</f>
        <v>21.127640244454394</v>
      </c>
    </row>
    <row r="14" spans="1:7" ht="13.5" customHeight="1">
      <c r="A14" s="2"/>
      <c r="B14" s="329"/>
      <c r="C14" s="330"/>
      <c r="D14" s="331"/>
      <c r="E14" s="331"/>
      <c r="F14" s="331"/>
      <c r="G14" s="307"/>
    </row>
    <row r="15" spans="1:7" ht="16.5" customHeight="1">
      <c r="A15" s="2" t="s">
        <v>24</v>
      </c>
      <c r="B15" s="228">
        <v>17.424599999999998</v>
      </c>
      <c r="C15" s="226">
        <v>-8.7999999999999995E-2</v>
      </c>
      <c r="D15" s="276">
        <v>0.47799999999999998</v>
      </c>
      <c r="E15" s="276">
        <v>3.7999999999999999E-2</v>
      </c>
      <c r="F15" s="276"/>
      <c r="G15" s="306">
        <f>SUM(B15:F15)</f>
        <v>17.852599999999999</v>
      </c>
    </row>
    <row r="16" spans="1:7" ht="13.5" customHeight="1">
      <c r="A16" s="1"/>
      <c r="B16" s="229"/>
      <c r="C16" s="227"/>
      <c r="D16" s="277"/>
      <c r="E16" s="277"/>
      <c r="F16" s="277"/>
      <c r="G16" s="307"/>
    </row>
    <row r="17" spans="1:7" s="51" customFormat="1" ht="18.75" customHeight="1">
      <c r="A17" s="188" t="s">
        <v>23</v>
      </c>
      <c r="B17" s="228">
        <v>6.2193400000000008</v>
      </c>
      <c r="C17" s="226">
        <v>-6.0000000000000001E-3</v>
      </c>
      <c r="D17" s="276">
        <v>0.184</v>
      </c>
      <c r="E17" s="276">
        <v>1.6160000000000001E-2</v>
      </c>
      <c r="F17" s="276"/>
      <c r="G17" s="306">
        <f>SUM(B17:F17)</f>
        <v>6.4135000000000009</v>
      </c>
    </row>
    <row r="18" spans="1:7" s="51" customFormat="1" ht="14.25" customHeight="1">
      <c r="A18" s="351"/>
      <c r="B18" s="228"/>
      <c r="C18" s="226"/>
      <c r="D18" s="352"/>
      <c r="E18" s="352"/>
      <c r="F18" s="352"/>
      <c r="G18" s="353"/>
    </row>
    <row r="19" spans="1:7" ht="18" customHeight="1">
      <c r="A19" s="2" t="s">
        <v>207</v>
      </c>
      <c r="B19" s="326">
        <v>20.421831755545611</v>
      </c>
      <c r="C19" s="327">
        <v>0.45200000000000001</v>
      </c>
      <c r="D19" s="328">
        <v>0.57099999999999995</v>
      </c>
      <c r="E19" s="328">
        <v>3.1519999999999999E-2</v>
      </c>
      <c r="F19" s="328"/>
      <c r="G19" s="306">
        <f>SUM(B19:F19)</f>
        <v>21.476351755545615</v>
      </c>
    </row>
    <row r="20" spans="1:7" ht="13.5" customHeight="1" thickBot="1">
      <c r="A20" s="187"/>
      <c r="B20" s="230"/>
      <c r="C20" s="303"/>
      <c r="D20" s="278"/>
      <c r="E20" s="278"/>
      <c r="F20" s="278"/>
      <c r="G20" s="309"/>
    </row>
    <row r="21" spans="1:7" s="51" customFormat="1" ht="16" thickBot="1">
      <c r="A21" s="141" t="s">
        <v>0</v>
      </c>
      <c r="B21" s="240">
        <f t="shared" ref="B21:G21" si="0">SUM(B7:B19)</f>
        <v>146.28159799999997</v>
      </c>
      <c r="C21" s="240">
        <f t="shared" si="0"/>
        <v>0.21900000000000003</v>
      </c>
      <c r="D21" s="240">
        <f t="shared" si="0"/>
        <v>4.1959999999999997</v>
      </c>
      <c r="E21" s="240">
        <f t="shared" si="0"/>
        <v>0.25025000000000003</v>
      </c>
      <c r="F21" s="370">
        <f t="shared" si="0"/>
        <v>0</v>
      </c>
      <c r="G21" s="310">
        <f t="shared" si="0"/>
        <v>150.94684799999999</v>
      </c>
    </row>
    <row r="23" spans="1:7">
      <c r="B23" s="249"/>
      <c r="C23" s="249"/>
      <c r="D23" s="249"/>
      <c r="E23" s="249"/>
      <c r="F23" s="249"/>
    </row>
  </sheetData>
  <phoneticPr fontId="11" type="noConversion"/>
  <pageMargins left="0.2" right="0.28000000000000003" top="0.39370078740157483" bottom="0.47" header="0.31496062992125984" footer="0.33"/>
  <pageSetup paperSize="9" scale="77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tabColor rgb="FFFFFF99"/>
    <pageSetUpPr fitToPage="1"/>
  </sheetPr>
  <dimension ref="A1:L23"/>
  <sheetViews>
    <sheetView showGridLines="0" zoomScaleNormal="100" workbookViewId="0">
      <selection activeCell="F22" sqref="F22"/>
    </sheetView>
  </sheetViews>
  <sheetFormatPr defaultColWidth="8.84375" defaultRowHeight="15.5"/>
  <cols>
    <col min="1" max="1" width="39.69140625" style="16" customWidth="1"/>
    <col min="2" max="4" width="13.4609375" style="94" customWidth="1"/>
    <col min="5" max="16384" width="8.84375" style="16"/>
  </cols>
  <sheetData>
    <row r="1" spans="1:12" s="10" customFormat="1">
      <c r="A1" s="28" t="s">
        <v>55</v>
      </c>
      <c r="B1" s="87"/>
      <c r="C1" s="87"/>
      <c r="D1" s="87"/>
    </row>
    <row r="2" spans="1:12" s="10" customFormat="1" ht="16" thickBot="1">
      <c r="A2" s="11" t="s">
        <v>157</v>
      </c>
      <c r="B2" s="87"/>
      <c r="C2" s="87"/>
      <c r="D2" s="87"/>
    </row>
    <row r="3" spans="1:12" s="89" customFormat="1" ht="15" customHeight="1">
      <c r="A3" s="12"/>
      <c r="B3" s="50">
        <v>1</v>
      </c>
      <c r="C3" s="50">
        <f>B3+1</f>
        <v>2</v>
      </c>
      <c r="D3" s="50">
        <f>C3+1</f>
        <v>3</v>
      </c>
      <c r="E3" s="88"/>
      <c r="F3" s="88"/>
      <c r="G3" s="88"/>
      <c r="H3" s="88"/>
      <c r="I3" s="88"/>
      <c r="J3" s="88"/>
      <c r="K3" s="88"/>
      <c r="L3" s="88"/>
    </row>
    <row r="4" spans="1:12" s="90" customFormat="1" ht="111" customHeight="1">
      <c r="A4" s="114"/>
      <c r="B4" s="468" t="s">
        <v>199</v>
      </c>
      <c r="C4" s="468" t="s">
        <v>242</v>
      </c>
      <c r="D4" s="469" t="s">
        <v>243</v>
      </c>
    </row>
    <row r="5" spans="1:12" s="89" customFormat="1" ht="18.75" customHeight="1">
      <c r="A5" s="403" t="s">
        <v>7</v>
      </c>
      <c r="B5" s="470" t="s">
        <v>16</v>
      </c>
      <c r="C5" s="470" t="s">
        <v>16</v>
      </c>
      <c r="D5" s="471" t="s">
        <v>16</v>
      </c>
    </row>
    <row r="6" spans="1:12" s="13" customFormat="1">
      <c r="A6" s="91"/>
      <c r="B6" s="92"/>
      <c r="C6" s="92"/>
      <c r="D6" s="270"/>
    </row>
    <row r="7" spans="1:12" s="18" customFormat="1">
      <c r="A7" s="2" t="s">
        <v>21</v>
      </c>
      <c r="B7" s="100">
        <v>2.85337</v>
      </c>
      <c r="C7" s="100">
        <v>0.13900000000000001</v>
      </c>
      <c r="D7" s="271">
        <f>SUM(B7:C7)</f>
        <v>2.9923700000000002</v>
      </c>
    </row>
    <row r="8" spans="1:12" s="18" customFormat="1">
      <c r="A8" s="2"/>
      <c r="B8" s="100"/>
      <c r="C8" s="100"/>
      <c r="D8" s="271"/>
    </row>
    <row r="9" spans="1:12" s="18" customFormat="1">
      <c r="A9" s="2" t="s">
        <v>30</v>
      </c>
      <c r="B9" s="100">
        <v>5.5202900000000001</v>
      </c>
      <c r="C9" s="100">
        <v>0.26700000000000002</v>
      </c>
      <c r="D9" s="271">
        <f>SUM(B9:C9)</f>
        <v>5.7872900000000005</v>
      </c>
    </row>
    <row r="10" spans="1:12">
      <c r="A10" s="1"/>
      <c r="B10" s="93"/>
      <c r="C10" s="93"/>
      <c r="D10" s="272"/>
    </row>
    <row r="11" spans="1:12">
      <c r="A11" s="2" t="s">
        <v>22</v>
      </c>
      <c r="B11" s="100">
        <v>2.5066000000000002</v>
      </c>
      <c r="C11" s="100">
        <v>0.121</v>
      </c>
      <c r="D11" s="271">
        <f>SUM(B11:C11)</f>
        <v>2.6276000000000002</v>
      </c>
    </row>
    <row r="12" spans="1:12">
      <c r="A12" s="2"/>
      <c r="B12" s="100"/>
      <c r="C12" s="100"/>
      <c r="D12" s="271"/>
    </row>
    <row r="13" spans="1:12" s="18" customFormat="1">
      <c r="A13" s="2" t="s">
        <v>206</v>
      </c>
      <c r="B13" s="100">
        <v>3.5374700000000003</v>
      </c>
      <c r="C13" s="100">
        <v>0.17100000000000001</v>
      </c>
      <c r="D13" s="271">
        <f>SUM(B13:C13)</f>
        <v>3.7084700000000002</v>
      </c>
    </row>
    <row r="14" spans="1:12" s="18" customFormat="1">
      <c r="A14" s="2"/>
      <c r="B14" s="100"/>
      <c r="C14" s="100"/>
      <c r="D14" s="271"/>
    </row>
    <row r="15" spans="1:12" s="18" customFormat="1">
      <c r="A15" s="2" t="s">
        <v>24</v>
      </c>
      <c r="B15" s="100">
        <v>2.0388040000000003</v>
      </c>
      <c r="C15" s="100">
        <v>9.9000000000000005E-2</v>
      </c>
      <c r="D15" s="271">
        <f>SUM(B15:C15)</f>
        <v>2.1378040000000005</v>
      </c>
    </row>
    <row r="16" spans="1:12">
      <c r="A16" s="1"/>
      <c r="B16" s="93"/>
      <c r="C16" s="93"/>
      <c r="D16" s="272"/>
    </row>
    <row r="17" spans="1:4">
      <c r="A17" s="99" t="s">
        <v>23</v>
      </c>
      <c r="B17" s="101">
        <v>0.59517000000000009</v>
      </c>
      <c r="C17" s="101">
        <v>2.9000000000000001E-2</v>
      </c>
      <c r="D17" s="271">
        <f>SUM(B17:C17)</f>
        <v>0.62417000000000011</v>
      </c>
    </row>
    <row r="18" spans="1:4">
      <c r="A18" s="99"/>
      <c r="B18" s="101"/>
      <c r="C18" s="101"/>
      <c r="D18" s="354"/>
    </row>
    <row r="19" spans="1:4" s="18" customFormat="1">
      <c r="A19" s="2" t="s">
        <v>207</v>
      </c>
      <c r="B19" s="100">
        <v>2.7622900000000001</v>
      </c>
      <c r="C19" s="100">
        <v>0.13400000000000001</v>
      </c>
      <c r="D19" s="271">
        <f>SUM(B19:C19)</f>
        <v>2.89629</v>
      </c>
    </row>
    <row r="20" spans="1:4" ht="16.5" customHeight="1" thickBot="1">
      <c r="A20" s="127"/>
      <c r="B20" s="275"/>
      <c r="C20" s="275"/>
      <c r="D20" s="273"/>
    </row>
    <row r="21" spans="1:4" s="20" customFormat="1" ht="16" thickBot="1">
      <c r="A21" s="19" t="s">
        <v>0</v>
      </c>
      <c r="B21" s="54">
        <f>B17+B15+B13+B11+B9+B7+B19</f>
        <v>19.813994000000001</v>
      </c>
      <c r="C21" s="54">
        <f>C17+C15+C13+C11+C9+C7+C19</f>
        <v>0.96000000000000008</v>
      </c>
      <c r="D21" s="274">
        <f>D17+D15+D13+D11+D9+D7+D19</f>
        <v>20.773994000000002</v>
      </c>
    </row>
    <row r="23" spans="1:4">
      <c r="B23" s="249"/>
    </row>
  </sheetData>
  <phoneticPr fontId="11" type="noConversion"/>
  <printOptions horizontalCentered="1"/>
  <pageMargins left="0.77" right="0.74803149606299213" top="0.98425196850393704" bottom="0.98425196850393704" header="0.51181102362204722" footer="0.51181102362204722"/>
  <pageSetup paperSize="9" scale="94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99"/>
    <pageSetUpPr fitToPage="1"/>
  </sheetPr>
  <dimension ref="A1:L24"/>
  <sheetViews>
    <sheetView zoomScaleNormal="100" workbookViewId="0">
      <selection activeCell="H27" sqref="H27"/>
    </sheetView>
  </sheetViews>
  <sheetFormatPr defaultColWidth="8.69140625" defaultRowHeight="15.5"/>
  <cols>
    <col min="1" max="1" width="40.84375" style="55" customWidth="1"/>
    <col min="2" max="2" width="11.69140625" style="55" customWidth="1"/>
    <col min="3" max="6" width="14.23046875" style="55" customWidth="1"/>
    <col min="7" max="7" width="15.53515625" style="55" customWidth="1"/>
    <col min="8" max="8" width="14.69140625" style="55" customWidth="1"/>
    <col min="9" max="11" width="11.69140625" style="55" customWidth="1"/>
    <col min="12" max="12" width="12.69140625" style="55" customWidth="1"/>
    <col min="13" max="13" width="11.69140625" style="55" customWidth="1"/>
    <col min="14" max="16384" width="8.69140625" style="55"/>
  </cols>
  <sheetData>
    <row r="1" spans="1:12">
      <c r="A1" s="51" t="s">
        <v>183</v>
      </c>
    </row>
    <row r="2" spans="1:12" ht="16" thickBot="1"/>
    <row r="3" spans="1:12">
      <c r="A3" s="12"/>
      <c r="B3" s="50">
        <v>1</v>
      </c>
      <c r="C3" s="371">
        <f>B3+1</f>
        <v>2</v>
      </c>
      <c r="D3" s="371"/>
      <c r="E3" s="371"/>
      <c r="F3" s="50">
        <f>C3+1</f>
        <v>3</v>
      </c>
      <c r="G3" s="50">
        <f t="shared" ref="G3:L3" si="0">F3+1</f>
        <v>4</v>
      </c>
      <c r="H3" s="50">
        <f t="shared" si="0"/>
        <v>5</v>
      </c>
      <c r="I3" s="50">
        <f t="shared" si="0"/>
        <v>6</v>
      </c>
      <c r="J3" s="50">
        <f t="shared" si="0"/>
        <v>7</v>
      </c>
      <c r="K3" s="50">
        <f t="shared" si="0"/>
        <v>8</v>
      </c>
      <c r="L3" s="50">
        <f t="shared" si="0"/>
        <v>9</v>
      </c>
    </row>
    <row r="4" spans="1:12" ht="93" customHeight="1">
      <c r="A4" s="241"/>
      <c r="B4" s="472" t="s">
        <v>259</v>
      </c>
      <c r="C4" s="472" t="s">
        <v>278</v>
      </c>
      <c r="D4" s="472" t="s">
        <v>279</v>
      </c>
      <c r="E4" s="472" t="s">
        <v>281</v>
      </c>
      <c r="F4" s="472" t="s">
        <v>280</v>
      </c>
      <c r="G4" s="472" t="s">
        <v>319</v>
      </c>
      <c r="H4" s="473" t="s">
        <v>244</v>
      </c>
      <c r="I4" s="472" t="s">
        <v>31</v>
      </c>
      <c r="J4" s="472" t="s">
        <v>32</v>
      </c>
      <c r="K4" s="472" t="s">
        <v>33</v>
      </c>
      <c r="L4" s="474" t="s">
        <v>245</v>
      </c>
    </row>
    <row r="5" spans="1:12">
      <c r="A5" s="403" t="s">
        <v>7</v>
      </c>
      <c r="B5" s="475" t="s">
        <v>16</v>
      </c>
      <c r="C5" s="470" t="s">
        <v>16</v>
      </c>
      <c r="D5" s="470" t="s">
        <v>16</v>
      </c>
      <c r="E5" s="470" t="s">
        <v>16</v>
      </c>
      <c r="F5" s="470" t="s">
        <v>16</v>
      </c>
      <c r="G5" s="470" t="s">
        <v>16</v>
      </c>
      <c r="H5" s="475" t="s">
        <v>16</v>
      </c>
      <c r="I5" s="470" t="s">
        <v>16</v>
      </c>
      <c r="J5" s="470" t="s">
        <v>16</v>
      </c>
      <c r="K5" s="470" t="s">
        <v>16</v>
      </c>
      <c r="L5" s="476" t="s">
        <v>16</v>
      </c>
    </row>
    <row r="6" spans="1:12">
      <c r="A6" s="91"/>
      <c r="B6" s="203"/>
      <c r="C6" s="92"/>
      <c r="D6" s="92"/>
      <c r="E6" s="92"/>
      <c r="F6" s="92"/>
      <c r="G6" s="92"/>
      <c r="H6" s="203"/>
      <c r="I6" s="92"/>
      <c r="J6" s="92"/>
      <c r="K6" s="92"/>
      <c r="L6" s="208"/>
    </row>
    <row r="7" spans="1:12">
      <c r="A7" s="2" t="s">
        <v>21</v>
      </c>
      <c r="B7" s="204">
        <v>100.14276889999999</v>
      </c>
      <c r="C7" s="100">
        <v>9.6250000000000002E-2</v>
      </c>
      <c r="D7" s="100">
        <v>1.3391</v>
      </c>
      <c r="E7" s="100">
        <v>0.44</v>
      </c>
      <c r="F7" s="100">
        <v>1.4172000000000001E-2</v>
      </c>
      <c r="G7" s="100">
        <v>2.036</v>
      </c>
      <c r="H7" s="204">
        <f>SUM(B7:G7)</f>
        <v>104.06829089999999</v>
      </c>
      <c r="I7" s="100">
        <v>7.7569999999999997</v>
      </c>
      <c r="J7" s="100">
        <v>0.78400000000000003</v>
      </c>
      <c r="K7" s="100">
        <v>3.8740000000000001</v>
      </c>
      <c r="L7" s="209">
        <f>H7+I7+J7+K7</f>
        <v>116.4832909</v>
      </c>
    </row>
    <row r="8" spans="1:12">
      <c r="A8" s="2"/>
      <c r="B8" s="204"/>
      <c r="C8" s="100"/>
      <c r="D8" s="100"/>
      <c r="E8" s="100"/>
      <c r="F8" s="100"/>
      <c r="G8" s="100"/>
      <c r="H8" s="204"/>
      <c r="I8" s="100"/>
      <c r="J8" s="100"/>
      <c r="K8" s="100"/>
      <c r="L8" s="209"/>
    </row>
    <row r="9" spans="1:12">
      <c r="A9" s="99" t="s">
        <v>109</v>
      </c>
      <c r="B9" s="204">
        <v>137.04654000000002</v>
      </c>
      <c r="C9" s="101">
        <v>0.1</v>
      </c>
      <c r="D9" s="101">
        <v>1.4882</v>
      </c>
      <c r="E9" s="101">
        <v>0</v>
      </c>
      <c r="F9" s="101">
        <v>1.6847000000000001E-2</v>
      </c>
      <c r="G9" s="101">
        <v>2.8010000000000002</v>
      </c>
      <c r="H9" s="204">
        <f>SUM(B9:G9)</f>
        <v>141.45258700000002</v>
      </c>
      <c r="I9" s="101">
        <v>9.24</v>
      </c>
      <c r="J9" s="101">
        <v>1.2969999999999999</v>
      </c>
      <c r="K9" s="101">
        <v>5.5570000000000004</v>
      </c>
      <c r="L9" s="209">
        <f>H9+I9+J9+K9</f>
        <v>157.54658700000002</v>
      </c>
    </row>
    <row r="10" spans="1:12">
      <c r="A10" s="2"/>
      <c r="B10" s="204"/>
      <c r="C10" s="100"/>
      <c r="D10" s="100"/>
      <c r="E10" s="100"/>
      <c r="F10" s="100"/>
      <c r="G10" s="100"/>
      <c r="H10" s="204"/>
      <c r="I10" s="100"/>
      <c r="J10" s="100"/>
      <c r="K10" s="100"/>
      <c r="L10" s="209"/>
    </row>
    <row r="11" spans="1:12">
      <c r="A11" s="2" t="s">
        <v>22</v>
      </c>
      <c r="B11" s="204">
        <v>102.15610759999998</v>
      </c>
      <c r="C11" s="100">
        <v>0.12075</v>
      </c>
      <c r="D11" s="100">
        <v>1.0073000000000001</v>
      </c>
      <c r="E11" s="100">
        <v>0.50760000000000005</v>
      </c>
      <c r="F11" s="100">
        <v>1.1965E-2</v>
      </c>
      <c r="G11" s="100">
        <v>2.0920000000000001</v>
      </c>
      <c r="H11" s="204">
        <f>SUM(B11:G11)</f>
        <v>105.89572259999998</v>
      </c>
      <c r="I11" s="100">
        <v>5.1769999999999996</v>
      </c>
      <c r="J11" s="100">
        <v>1.151</v>
      </c>
      <c r="K11" s="100">
        <v>3.173</v>
      </c>
      <c r="L11" s="209">
        <f>H11+I11+J11+K11</f>
        <v>115.39672259999999</v>
      </c>
    </row>
    <row r="12" spans="1:12">
      <c r="A12" s="2"/>
      <c r="B12" s="205"/>
      <c r="C12" s="256"/>
      <c r="D12" s="256"/>
      <c r="E12" s="256"/>
      <c r="F12" s="256"/>
      <c r="G12" s="256"/>
      <c r="H12" s="205"/>
      <c r="I12" s="100"/>
      <c r="J12" s="100"/>
      <c r="K12" s="100"/>
      <c r="L12" s="209"/>
    </row>
    <row r="13" spans="1:12">
      <c r="A13" s="2" t="s">
        <v>206</v>
      </c>
      <c r="B13" s="204">
        <v>98.711274145330862</v>
      </c>
      <c r="C13" s="100">
        <v>0.05</v>
      </c>
      <c r="D13" s="100">
        <v>1.1294617926346588</v>
      </c>
      <c r="E13" s="100">
        <v>0</v>
      </c>
      <c r="F13" s="100">
        <v>1.0732999999999999E-2</v>
      </c>
      <c r="G13" s="100">
        <v>2.0169999999999999</v>
      </c>
      <c r="H13" s="204">
        <f>SUM(B13:G13)</f>
        <v>101.91846893796551</v>
      </c>
      <c r="I13" s="100">
        <f>3.837+2.137</f>
        <v>5.9740000000000002</v>
      </c>
      <c r="J13" s="100">
        <f>0.691+0.533</f>
        <v>1.224</v>
      </c>
      <c r="K13" s="100">
        <f>2.063+0.937</f>
        <v>3</v>
      </c>
      <c r="L13" s="209">
        <f>H13+I13+J13+K13</f>
        <v>112.11646893796552</v>
      </c>
    </row>
    <row r="14" spans="1:12">
      <c r="A14" s="1"/>
      <c r="B14" s="206"/>
      <c r="C14" s="93"/>
      <c r="D14" s="93"/>
      <c r="E14" s="93"/>
      <c r="F14" s="93"/>
      <c r="G14" s="93"/>
      <c r="H14" s="206"/>
      <c r="I14" s="93"/>
      <c r="J14" s="93"/>
      <c r="K14" s="93"/>
      <c r="L14" s="210"/>
    </row>
    <row r="15" spans="1:12">
      <c r="A15" s="2" t="s">
        <v>24</v>
      </c>
      <c r="B15" s="204">
        <v>79.654597299999978</v>
      </c>
      <c r="C15" s="100">
        <v>0.13300000000000001</v>
      </c>
      <c r="D15" s="100">
        <v>0.84909999999999997</v>
      </c>
      <c r="E15" s="100">
        <v>0</v>
      </c>
      <c r="F15" s="100">
        <v>9.2899999999999996E-3</v>
      </c>
      <c r="G15" s="100">
        <v>1.63</v>
      </c>
      <c r="H15" s="204">
        <f>SUM(B15:G15)</f>
        <v>82.275987299999969</v>
      </c>
      <c r="I15" s="100">
        <v>4.6749999999999998</v>
      </c>
      <c r="J15" s="100">
        <v>0.72</v>
      </c>
      <c r="K15" s="100">
        <v>2.4449999999999998</v>
      </c>
      <c r="L15" s="209">
        <f>H15+I15+J15+K15</f>
        <v>90.115987299999958</v>
      </c>
    </row>
    <row r="16" spans="1:12">
      <c r="A16" s="2"/>
      <c r="B16" s="204"/>
      <c r="C16" s="100"/>
      <c r="D16" s="100"/>
      <c r="E16" s="100"/>
      <c r="F16" s="100"/>
      <c r="G16" s="100"/>
      <c r="H16" s="204"/>
      <c r="I16" s="100"/>
      <c r="J16" s="100"/>
      <c r="K16" s="100"/>
      <c r="L16" s="209"/>
    </row>
    <row r="17" spans="1:12">
      <c r="A17" s="2" t="s">
        <v>23</v>
      </c>
      <c r="B17" s="204">
        <v>28.963927299999998</v>
      </c>
      <c r="C17" s="100">
        <v>0</v>
      </c>
      <c r="D17" s="100">
        <v>0.28489999999999999</v>
      </c>
      <c r="E17" s="100"/>
      <c r="F17" s="100">
        <v>3.1830000000000001E-3</v>
      </c>
      <c r="G17" s="100">
        <v>0.59399999999999997</v>
      </c>
      <c r="H17" s="204">
        <f>SUM(B17:G17)</f>
        <v>29.8460103</v>
      </c>
      <c r="I17" s="100">
        <v>1.0620000000000001</v>
      </c>
      <c r="J17" s="100">
        <v>0.34499999999999997</v>
      </c>
      <c r="K17" s="100">
        <v>2.1240000000000001</v>
      </c>
      <c r="L17" s="209">
        <f>H17+I17+J17+K17</f>
        <v>33.377010300000002</v>
      </c>
    </row>
    <row r="18" spans="1:12">
      <c r="A18" s="2"/>
      <c r="B18" s="204"/>
      <c r="C18" s="100"/>
      <c r="D18" s="100"/>
      <c r="E18" s="100"/>
      <c r="F18" s="100"/>
      <c r="G18" s="100"/>
      <c r="H18" s="204"/>
      <c r="I18" s="100"/>
      <c r="J18" s="100"/>
      <c r="K18" s="100"/>
      <c r="L18" s="209"/>
    </row>
    <row r="19" spans="1:12">
      <c r="A19" s="2" t="s">
        <v>207</v>
      </c>
      <c r="B19" s="204">
        <v>89.429440054669158</v>
      </c>
      <c r="C19" s="100">
        <v>0</v>
      </c>
      <c r="D19" s="100">
        <v>0.90193820736534103</v>
      </c>
      <c r="E19" s="100">
        <v>0.32902599999999999</v>
      </c>
      <c r="F19" s="100">
        <v>9.3880000000000005E-3</v>
      </c>
      <c r="G19" s="100">
        <v>1.83</v>
      </c>
      <c r="H19" s="204">
        <f>SUM(B19:G19)</f>
        <v>92.499792262034504</v>
      </c>
      <c r="I19" s="100">
        <f>7.615-2.137</f>
        <v>5.4779999999999998</v>
      </c>
      <c r="J19" s="100">
        <f>1.898-0.533</f>
        <v>1.3649999999999998</v>
      </c>
      <c r="K19" s="100">
        <f>3.34-0.937</f>
        <v>2.4029999999999996</v>
      </c>
      <c r="L19" s="209">
        <f>H19+I19+J19+K19</f>
        <v>101.7457922620345</v>
      </c>
    </row>
    <row r="20" spans="1:12" ht="16" thickBot="1">
      <c r="A20" s="1"/>
      <c r="B20" s="206"/>
      <c r="C20" s="93"/>
      <c r="D20" s="93"/>
      <c r="E20" s="93"/>
      <c r="F20" s="93"/>
      <c r="G20" s="93"/>
      <c r="H20" s="206"/>
      <c r="I20" s="93"/>
      <c r="J20" s="93"/>
      <c r="K20" s="93"/>
      <c r="L20" s="210"/>
    </row>
    <row r="21" spans="1:12" ht="16" thickBot="1">
      <c r="A21" s="19" t="s">
        <v>0</v>
      </c>
      <c r="B21" s="207">
        <f t="shared" ref="B21:L21" si="1">+B7+B11+B13+B17+B15+B19+B9</f>
        <v>636.10465529999999</v>
      </c>
      <c r="C21" s="54">
        <f t="shared" si="1"/>
        <v>0.5</v>
      </c>
      <c r="D21" s="54">
        <f t="shared" si="1"/>
        <v>7</v>
      </c>
      <c r="E21" s="54">
        <f t="shared" si="1"/>
        <v>1.276626</v>
      </c>
      <c r="F21" s="54">
        <f t="shared" si="1"/>
        <v>7.5578000000000006E-2</v>
      </c>
      <c r="G21" s="54">
        <f t="shared" si="1"/>
        <v>13</v>
      </c>
      <c r="H21" s="288">
        <f t="shared" si="1"/>
        <v>657.95685929999991</v>
      </c>
      <c r="I21" s="54">
        <f t="shared" si="1"/>
        <v>39.363000000000007</v>
      </c>
      <c r="J21" s="54">
        <f t="shared" si="1"/>
        <v>6.8859999999999983</v>
      </c>
      <c r="K21" s="54">
        <f t="shared" si="1"/>
        <v>22.576000000000001</v>
      </c>
      <c r="L21" s="211">
        <f t="shared" si="1"/>
        <v>726.78185929999995</v>
      </c>
    </row>
    <row r="23" spans="1:12">
      <c r="B23" s="249"/>
      <c r="C23" s="249"/>
      <c r="D23" s="249"/>
      <c r="E23" s="249"/>
      <c r="F23" s="249"/>
      <c r="I23" s="249"/>
      <c r="J23" s="249"/>
      <c r="K23" s="249"/>
    </row>
    <row r="24" spans="1:12">
      <c r="H24" s="24"/>
    </row>
  </sheetData>
  <phoneticPr fontId="11" type="noConversion"/>
  <pageMargins left="0.55118110236220474" right="0.74803149606299213" top="0.98425196850393704" bottom="0.98425196850393704" header="0.51181102362204722" footer="0.51181102362204722"/>
  <pageSetup paperSize="9" scale="55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99"/>
    <pageSetUpPr fitToPage="1"/>
  </sheetPr>
  <dimension ref="A1:BW40"/>
  <sheetViews>
    <sheetView zoomScaleNormal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BS19" sqref="BS19"/>
    </sheetView>
  </sheetViews>
  <sheetFormatPr defaultColWidth="8.69140625" defaultRowHeight="15.5" outlineLevelCol="1"/>
  <cols>
    <col min="1" max="1" width="51.23046875" style="55" customWidth="1"/>
    <col min="2" max="2" width="10.84375" style="55" customWidth="1" outlineLevel="1"/>
    <col min="3" max="3" width="12.23046875" style="55" customWidth="1" outlineLevel="1"/>
    <col min="4" max="4" width="11.23046875" style="55" customWidth="1" outlineLevel="1"/>
    <col min="5" max="5" width="8.84375" style="55" customWidth="1" outlineLevel="1"/>
    <col min="6" max="6" width="13.23046875" style="55" customWidth="1" outlineLevel="1"/>
    <col min="7" max="7" width="12.07421875" style="55" customWidth="1" outlineLevel="1"/>
    <col min="8" max="8" width="10.84375" style="55" customWidth="1" outlineLevel="1"/>
    <col min="9" max="9" width="11.4609375" style="55" customWidth="1" outlineLevel="1"/>
    <col min="10" max="10" width="12" style="55" customWidth="1" outlineLevel="1"/>
    <col min="11" max="11" width="11.69140625" style="55" customWidth="1" outlineLevel="1"/>
    <col min="12" max="12" width="13.84375" style="55" customWidth="1" outlineLevel="1"/>
    <col min="13" max="13" width="14.4609375" style="55" customWidth="1" outlineLevel="1"/>
    <col min="14" max="14" width="11.07421875" style="55" customWidth="1" outlineLevel="1"/>
    <col min="15" max="15" width="12.53515625" style="55" customWidth="1" outlineLevel="1"/>
    <col min="16" max="16" width="15" style="55" customWidth="1" outlineLevel="1"/>
    <col min="17" max="17" width="13.69140625" style="55" customWidth="1" outlineLevel="1"/>
    <col min="18" max="18" width="13.07421875" style="55" customWidth="1" outlineLevel="1"/>
    <col min="19" max="20" width="11.23046875" style="55" customWidth="1" outlineLevel="1"/>
    <col min="21" max="21" width="10.69140625" style="55" customWidth="1" outlineLevel="1"/>
    <col min="22" max="22" width="12.23046875" style="55" customWidth="1" outlineLevel="1"/>
    <col min="23" max="23" width="14" style="55" customWidth="1" outlineLevel="1"/>
    <col min="24" max="24" width="11.4609375" style="55" customWidth="1" outlineLevel="1"/>
    <col min="25" max="25" width="11.07421875" style="55" customWidth="1" outlineLevel="1"/>
    <col min="26" max="26" width="11.23046875" style="55" customWidth="1" outlineLevel="1"/>
    <col min="27" max="27" width="10.23046875" style="55" customWidth="1" outlineLevel="1"/>
    <col min="28" max="28" width="12.69140625" style="55" customWidth="1" outlineLevel="1"/>
    <col min="29" max="29" width="13" style="55" customWidth="1" outlineLevel="1"/>
    <col min="30" max="30" width="10.69140625" style="55" customWidth="1" outlineLevel="1"/>
    <col min="31" max="32" width="11.4609375" style="55" customWidth="1" outlineLevel="1"/>
    <col min="33" max="33" width="13.23046875" style="55" customWidth="1" outlineLevel="1"/>
    <col min="34" max="34" width="14.69140625" style="55" customWidth="1" outlineLevel="1"/>
    <col min="35" max="36" width="13.23046875" style="55" customWidth="1" outlineLevel="1"/>
    <col min="37" max="37" width="15" style="55" customWidth="1" outlineLevel="1"/>
    <col min="38" max="38" width="13.23046875" style="55" customWidth="1" outlineLevel="1"/>
    <col min="39" max="39" width="14.69140625" style="55" customWidth="1" outlineLevel="1"/>
    <col min="40" max="42" width="15.23046875" style="55" customWidth="1" outlineLevel="1"/>
    <col min="43" max="43" width="17.4609375" style="55" customWidth="1" outlineLevel="1"/>
    <col min="44" max="52" width="15.23046875" style="55" customWidth="1" outlineLevel="1"/>
    <col min="53" max="54" width="12.53515625" style="55" customWidth="1"/>
    <col min="55" max="55" width="15.53515625" style="55" customWidth="1"/>
    <col min="56" max="56" width="12.53515625" style="55" customWidth="1"/>
    <col min="57" max="58" width="15.07421875" style="55" customWidth="1"/>
    <col min="59" max="69" width="12.53515625" style="55" customWidth="1"/>
    <col min="70" max="70" width="15.07421875" style="55" customWidth="1"/>
    <col min="71" max="72" width="8.69140625" style="55"/>
    <col min="73" max="73" width="12" style="55" customWidth="1"/>
    <col min="74" max="74" width="8.69140625" style="55"/>
    <col min="75" max="75" width="14.07421875" style="55" customWidth="1"/>
    <col min="76" max="16384" width="8.69140625" style="55"/>
  </cols>
  <sheetData>
    <row r="1" spans="1:75">
      <c r="A1" s="51" t="s">
        <v>178</v>
      </c>
    </row>
    <row r="2" spans="1:75">
      <c r="AG2" s="300"/>
      <c r="AV2" s="200"/>
      <c r="AW2" s="24"/>
      <c r="AX2" s="24"/>
      <c r="AY2" s="24"/>
      <c r="AZ2" s="24"/>
      <c r="BA2" s="24"/>
      <c r="BB2" s="299" t="s">
        <v>177</v>
      </c>
      <c r="BC2" s="477"/>
      <c r="BD2" s="477"/>
      <c r="BE2" s="477"/>
      <c r="BF2" s="477"/>
      <c r="BG2" s="477"/>
      <c r="BH2" s="477"/>
      <c r="BI2" s="478"/>
      <c r="BJ2" s="478"/>
      <c r="BK2" s="478"/>
      <c r="BL2" s="478"/>
      <c r="BM2" s="478"/>
      <c r="BN2" s="478"/>
      <c r="BO2" s="478"/>
      <c r="BP2" s="478"/>
      <c r="BQ2" s="478"/>
    </row>
    <row r="3" spans="1:75" ht="16" thickBot="1"/>
    <row r="4" spans="1:75">
      <c r="A4" s="12"/>
      <c r="B4" s="50">
        <v>1</v>
      </c>
      <c r="C4" s="50">
        <f t="shared" ref="C4:AA4" si="0">B4+1</f>
        <v>2</v>
      </c>
      <c r="D4" s="50">
        <f t="shared" si="0"/>
        <v>3</v>
      </c>
      <c r="E4" s="50">
        <f t="shared" si="0"/>
        <v>4</v>
      </c>
      <c r="F4" s="50">
        <f t="shared" si="0"/>
        <v>5</v>
      </c>
      <c r="G4" s="50">
        <f t="shared" si="0"/>
        <v>6</v>
      </c>
      <c r="H4" s="50">
        <f t="shared" si="0"/>
        <v>7</v>
      </c>
      <c r="I4" s="50">
        <f t="shared" si="0"/>
        <v>8</v>
      </c>
      <c r="J4" s="50">
        <f t="shared" si="0"/>
        <v>9</v>
      </c>
      <c r="K4" s="50">
        <f t="shared" si="0"/>
        <v>10</v>
      </c>
      <c r="L4" s="50">
        <f t="shared" si="0"/>
        <v>11</v>
      </c>
      <c r="M4" s="50">
        <f t="shared" si="0"/>
        <v>12</v>
      </c>
      <c r="N4" s="50">
        <f t="shared" si="0"/>
        <v>13</v>
      </c>
      <c r="O4" s="50">
        <f t="shared" si="0"/>
        <v>14</v>
      </c>
      <c r="P4" s="50">
        <f t="shared" si="0"/>
        <v>15</v>
      </c>
      <c r="Q4" s="50">
        <f t="shared" si="0"/>
        <v>16</v>
      </c>
      <c r="R4" s="50">
        <f t="shared" si="0"/>
        <v>17</v>
      </c>
      <c r="S4" s="50">
        <f t="shared" si="0"/>
        <v>18</v>
      </c>
      <c r="T4" s="50">
        <f t="shared" si="0"/>
        <v>19</v>
      </c>
      <c r="U4" s="50">
        <f t="shared" si="0"/>
        <v>20</v>
      </c>
      <c r="V4" s="50">
        <f t="shared" si="0"/>
        <v>21</v>
      </c>
      <c r="W4" s="50">
        <f t="shared" si="0"/>
        <v>22</v>
      </c>
      <c r="X4" s="50">
        <f t="shared" si="0"/>
        <v>23</v>
      </c>
      <c r="Y4" s="50">
        <f t="shared" si="0"/>
        <v>24</v>
      </c>
      <c r="Z4" s="50">
        <f t="shared" si="0"/>
        <v>25</v>
      </c>
      <c r="AA4" s="50">
        <f t="shared" si="0"/>
        <v>26</v>
      </c>
      <c r="AB4" s="50">
        <f t="shared" ref="AB4:AQ4" si="1">AA4+1</f>
        <v>27</v>
      </c>
      <c r="AC4" s="50">
        <f t="shared" si="1"/>
        <v>28</v>
      </c>
      <c r="AD4" s="50">
        <f t="shared" si="1"/>
        <v>29</v>
      </c>
      <c r="AE4" s="50">
        <f t="shared" si="1"/>
        <v>30</v>
      </c>
      <c r="AF4" s="50">
        <f t="shared" si="1"/>
        <v>31</v>
      </c>
      <c r="AG4" s="50">
        <f t="shared" si="1"/>
        <v>32</v>
      </c>
      <c r="AH4" s="50">
        <f t="shared" si="1"/>
        <v>33</v>
      </c>
      <c r="AI4" s="50">
        <f t="shared" si="1"/>
        <v>34</v>
      </c>
      <c r="AJ4" s="50">
        <f t="shared" si="1"/>
        <v>35</v>
      </c>
      <c r="AK4" s="50">
        <f t="shared" si="1"/>
        <v>36</v>
      </c>
      <c r="AL4" s="50">
        <f t="shared" si="1"/>
        <v>37</v>
      </c>
      <c r="AM4" s="50">
        <f t="shared" si="1"/>
        <v>38</v>
      </c>
      <c r="AN4" s="50">
        <f t="shared" si="1"/>
        <v>39</v>
      </c>
      <c r="AO4" s="50">
        <f t="shared" si="1"/>
        <v>40</v>
      </c>
      <c r="AP4" s="50">
        <f t="shared" si="1"/>
        <v>41</v>
      </c>
      <c r="AQ4" s="50">
        <f t="shared" si="1"/>
        <v>42</v>
      </c>
      <c r="AR4" s="50">
        <f t="shared" ref="AR4:AZ4" si="2">AQ4+1</f>
        <v>43</v>
      </c>
      <c r="AS4" s="50">
        <f t="shared" si="2"/>
        <v>44</v>
      </c>
      <c r="AT4" s="50">
        <f t="shared" si="2"/>
        <v>45</v>
      </c>
      <c r="AU4" s="50">
        <f t="shared" si="2"/>
        <v>46</v>
      </c>
      <c r="AV4" s="50">
        <f t="shared" si="2"/>
        <v>47</v>
      </c>
      <c r="AW4" s="50">
        <f t="shared" si="2"/>
        <v>48</v>
      </c>
      <c r="AX4" s="50">
        <f t="shared" si="2"/>
        <v>49</v>
      </c>
      <c r="AY4" s="50">
        <f t="shared" si="2"/>
        <v>50</v>
      </c>
      <c r="AZ4" s="50">
        <f t="shared" si="2"/>
        <v>51</v>
      </c>
      <c r="BA4" s="50">
        <f t="shared" ref="BA4:BH4" si="3">AZ4+1</f>
        <v>52</v>
      </c>
      <c r="BB4" s="50">
        <f t="shared" si="3"/>
        <v>53</v>
      </c>
      <c r="BC4" s="50">
        <f t="shared" si="3"/>
        <v>54</v>
      </c>
      <c r="BD4" s="50">
        <f t="shared" si="3"/>
        <v>55</v>
      </c>
      <c r="BE4" s="50">
        <f t="shared" si="3"/>
        <v>56</v>
      </c>
      <c r="BF4" s="50">
        <f t="shared" si="3"/>
        <v>57</v>
      </c>
      <c r="BG4" s="50">
        <f t="shared" si="3"/>
        <v>58</v>
      </c>
      <c r="BH4" s="50">
        <f t="shared" si="3"/>
        <v>59</v>
      </c>
      <c r="BI4" s="371">
        <f t="shared" ref="BI4:BN4" si="4">BH4+1</f>
        <v>60</v>
      </c>
      <c r="BJ4" s="371">
        <f t="shared" si="4"/>
        <v>61</v>
      </c>
      <c r="BK4" s="371">
        <f t="shared" si="4"/>
        <v>62</v>
      </c>
      <c r="BL4" s="371">
        <f t="shared" si="4"/>
        <v>63</v>
      </c>
      <c r="BM4" s="371">
        <f t="shared" si="4"/>
        <v>64</v>
      </c>
      <c r="BN4" s="371">
        <f t="shared" si="4"/>
        <v>65</v>
      </c>
      <c r="BO4" s="371">
        <f>BN4+1</f>
        <v>66</v>
      </c>
      <c r="BP4" s="371">
        <f>BO4+1</f>
        <v>67</v>
      </c>
      <c r="BQ4" s="371">
        <f>BP4+1</f>
        <v>68</v>
      </c>
      <c r="BR4" s="371">
        <f>BQ4+1</f>
        <v>69</v>
      </c>
      <c r="BU4" s="248">
        <v>61</v>
      </c>
      <c r="BW4" s="248">
        <v>62</v>
      </c>
    </row>
    <row r="5" spans="1:75" ht="120" customHeight="1">
      <c r="A5" s="241"/>
      <c r="B5" s="472" t="s">
        <v>45</v>
      </c>
      <c r="C5" s="472" t="s">
        <v>46</v>
      </c>
      <c r="D5" s="472" t="s">
        <v>50</v>
      </c>
      <c r="E5" s="472" t="s">
        <v>51</v>
      </c>
      <c r="F5" s="472" t="s">
        <v>42</v>
      </c>
      <c r="G5" s="472" t="s">
        <v>53</v>
      </c>
      <c r="H5" s="472" t="s">
        <v>62</v>
      </c>
      <c r="I5" s="472" t="s">
        <v>61</v>
      </c>
      <c r="J5" s="472" t="s">
        <v>54</v>
      </c>
      <c r="K5" s="484" t="s">
        <v>59</v>
      </c>
      <c r="L5" s="484" t="s">
        <v>60</v>
      </c>
      <c r="M5" s="484" t="s">
        <v>119</v>
      </c>
      <c r="N5" s="484" t="s">
        <v>103</v>
      </c>
      <c r="O5" s="484" t="s">
        <v>104</v>
      </c>
      <c r="P5" s="484" t="s">
        <v>102</v>
      </c>
      <c r="Q5" s="484" t="s">
        <v>142</v>
      </c>
      <c r="R5" s="484" t="s">
        <v>143</v>
      </c>
      <c r="S5" s="484" t="s">
        <v>144</v>
      </c>
      <c r="T5" s="484" t="s">
        <v>120</v>
      </c>
      <c r="U5" s="484" t="s">
        <v>121</v>
      </c>
      <c r="V5" s="484" t="s">
        <v>122</v>
      </c>
      <c r="W5" s="484" t="s">
        <v>123</v>
      </c>
      <c r="X5" s="484" t="s">
        <v>124</v>
      </c>
      <c r="Y5" s="484" t="s">
        <v>125</v>
      </c>
      <c r="Z5" s="484" t="s">
        <v>126</v>
      </c>
      <c r="AA5" s="484" t="s">
        <v>129</v>
      </c>
      <c r="AB5" s="484" t="s">
        <v>141</v>
      </c>
      <c r="AC5" s="484" t="s">
        <v>145</v>
      </c>
      <c r="AD5" s="484" t="s">
        <v>146</v>
      </c>
      <c r="AE5" s="484" t="s">
        <v>147</v>
      </c>
      <c r="AF5" s="484" t="s">
        <v>260</v>
      </c>
      <c r="AG5" s="485" t="s">
        <v>168</v>
      </c>
      <c r="AH5" s="485" t="s">
        <v>169</v>
      </c>
      <c r="AI5" s="485" t="s">
        <v>170</v>
      </c>
      <c r="AJ5" s="485" t="s">
        <v>246</v>
      </c>
      <c r="AK5" s="485" t="s">
        <v>172</v>
      </c>
      <c r="AL5" s="485" t="s">
        <v>173</v>
      </c>
      <c r="AM5" s="485" t="s">
        <v>171</v>
      </c>
      <c r="AN5" s="485" t="s">
        <v>174</v>
      </c>
      <c r="AO5" s="485" t="s">
        <v>175</v>
      </c>
      <c r="AP5" s="485" t="s">
        <v>176</v>
      </c>
      <c r="AQ5" s="486" t="s">
        <v>167</v>
      </c>
      <c r="AR5" s="487" t="s">
        <v>179</v>
      </c>
      <c r="AS5" s="488" t="s">
        <v>180</v>
      </c>
      <c r="AT5" s="488" t="s">
        <v>181</v>
      </c>
      <c r="AU5" s="488" t="s">
        <v>182</v>
      </c>
      <c r="AV5" s="488" t="s">
        <v>204</v>
      </c>
      <c r="AW5" s="488" t="s">
        <v>190</v>
      </c>
      <c r="AX5" s="488" t="s">
        <v>191</v>
      </c>
      <c r="AY5" s="488" t="s">
        <v>192</v>
      </c>
      <c r="AZ5" s="485" t="s">
        <v>214</v>
      </c>
      <c r="BA5" s="485" t="s">
        <v>205</v>
      </c>
      <c r="BB5" s="485" t="s">
        <v>211</v>
      </c>
      <c r="BC5" s="485" t="s">
        <v>213</v>
      </c>
      <c r="BD5" s="485" t="s">
        <v>218</v>
      </c>
      <c r="BE5" s="485" t="s">
        <v>219</v>
      </c>
      <c r="BF5" s="485" t="s">
        <v>223</v>
      </c>
      <c r="BG5" s="485" t="s">
        <v>214</v>
      </c>
      <c r="BH5" s="485" t="s">
        <v>205</v>
      </c>
      <c r="BI5" s="485" t="s">
        <v>300</v>
      </c>
      <c r="BJ5" s="485" t="s">
        <v>301</v>
      </c>
      <c r="BK5" s="485" t="s">
        <v>302</v>
      </c>
      <c r="BL5" s="485" t="s">
        <v>303</v>
      </c>
      <c r="BM5" s="485" t="s">
        <v>305</v>
      </c>
      <c r="BN5" s="485" t="s">
        <v>316</v>
      </c>
      <c r="BO5" s="485" t="s">
        <v>321</v>
      </c>
      <c r="BP5" s="485" t="s">
        <v>322</v>
      </c>
      <c r="BQ5" s="485" t="s">
        <v>317</v>
      </c>
      <c r="BR5" s="489" t="s">
        <v>247</v>
      </c>
      <c r="BU5" s="490" t="s">
        <v>261</v>
      </c>
      <c r="BV5" s="491"/>
      <c r="BW5" s="492" t="s">
        <v>248</v>
      </c>
    </row>
    <row r="6" spans="1:75">
      <c r="A6" s="403" t="s">
        <v>7</v>
      </c>
      <c r="B6" s="470" t="s">
        <v>16</v>
      </c>
      <c r="C6" s="470" t="s">
        <v>16</v>
      </c>
      <c r="D6" s="470" t="s">
        <v>16</v>
      </c>
      <c r="E6" s="470" t="s">
        <v>16</v>
      </c>
      <c r="F6" s="470" t="s">
        <v>16</v>
      </c>
      <c r="G6" s="470" t="s">
        <v>16</v>
      </c>
      <c r="H6" s="470" t="s">
        <v>16</v>
      </c>
      <c r="I6" s="470" t="s">
        <v>16</v>
      </c>
      <c r="J6" s="470" t="s">
        <v>16</v>
      </c>
      <c r="K6" s="470" t="s">
        <v>16</v>
      </c>
      <c r="L6" s="470" t="s">
        <v>16</v>
      </c>
      <c r="M6" s="470" t="s">
        <v>16</v>
      </c>
      <c r="N6" s="470" t="s">
        <v>16</v>
      </c>
      <c r="O6" s="470" t="s">
        <v>16</v>
      </c>
      <c r="P6" s="470" t="s">
        <v>16</v>
      </c>
      <c r="Q6" s="470" t="s">
        <v>16</v>
      </c>
      <c r="R6" s="470" t="s">
        <v>16</v>
      </c>
      <c r="S6" s="470" t="s">
        <v>16</v>
      </c>
      <c r="T6" s="470" t="s">
        <v>16</v>
      </c>
      <c r="U6" s="470" t="s">
        <v>16</v>
      </c>
      <c r="V6" s="470" t="s">
        <v>16</v>
      </c>
      <c r="W6" s="470" t="s">
        <v>16</v>
      </c>
      <c r="X6" s="470" t="s">
        <v>16</v>
      </c>
      <c r="Y6" s="470" t="s">
        <v>16</v>
      </c>
      <c r="Z6" s="470" t="s">
        <v>16</v>
      </c>
      <c r="AA6" s="470" t="s">
        <v>16</v>
      </c>
      <c r="AB6" s="470" t="s">
        <v>16</v>
      </c>
      <c r="AC6" s="470" t="s">
        <v>16</v>
      </c>
      <c r="AD6" s="470" t="s">
        <v>16</v>
      </c>
      <c r="AE6" s="470" t="s">
        <v>16</v>
      </c>
      <c r="AF6" s="470" t="s">
        <v>16</v>
      </c>
      <c r="AG6" s="470" t="s">
        <v>16</v>
      </c>
      <c r="AH6" s="470" t="s">
        <v>16</v>
      </c>
      <c r="AI6" s="470" t="s">
        <v>16</v>
      </c>
      <c r="AJ6" s="470" t="s">
        <v>16</v>
      </c>
      <c r="AK6" s="470" t="s">
        <v>16</v>
      </c>
      <c r="AL6" s="470" t="s">
        <v>16</v>
      </c>
      <c r="AM6" s="470" t="s">
        <v>16</v>
      </c>
      <c r="AN6" s="470" t="s">
        <v>16</v>
      </c>
      <c r="AO6" s="470" t="s">
        <v>16</v>
      </c>
      <c r="AP6" s="470" t="s">
        <v>16</v>
      </c>
      <c r="AQ6" s="470" t="s">
        <v>16</v>
      </c>
      <c r="AR6" s="470" t="s">
        <v>16</v>
      </c>
      <c r="AS6" s="470" t="s">
        <v>16</v>
      </c>
      <c r="AT6" s="470" t="s">
        <v>16</v>
      </c>
      <c r="AU6" s="470" t="s">
        <v>16</v>
      </c>
      <c r="AV6" s="470" t="s">
        <v>16</v>
      </c>
      <c r="AW6" s="470" t="s">
        <v>16</v>
      </c>
      <c r="AX6" s="470" t="s">
        <v>16</v>
      </c>
      <c r="AY6" s="470" t="s">
        <v>16</v>
      </c>
      <c r="AZ6" s="470" t="s">
        <v>16</v>
      </c>
      <c r="BA6" s="470" t="s">
        <v>16</v>
      </c>
      <c r="BB6" s="470" t="s">
        <v>16</v>
      </c>
      <c r="BC6" s="470" t="s">
        <v>16</v>
      </c>
      <c r="BD6" s="470" t="s">
        <v>16</v>
      </c>
      <c r="BE6" s="470" t="s">
        <v>16</v>
      </c>
      <c r="BF6" s="470" t="s">
        <v>16</v>
      </c>
      <c r="BG6" s="470" t="s">
        <v>16</v>
      </c>
      <c r="BH6" s="470" t="s">
        <v>16</v>
      </c>
      <c r="BI6" s="470" t="s">
        <v>16</v>
      </c>
      <c r="BJ6" s="470" t="s">
        <v>16</v>
      </c>
      <c r="BK6" s="470" t="s">
        <v>16</v>
      </c>
      <c r="BL6" s="470" t="s">
        <v>16</v>
      </c>
      <c r="BM6" s="470" t="s">
        <v>16</v>
      </c>
      <c r="BN6" s="470" t="s">
        <v>16</v>
      </c>
      <c r="BO6" s="470" t="s">
        <v>16</v>
      </c>
      <c r="BP6" s="470" t="s">
        <v>16</v>
      </c>
      <c r="BQ6" s="470" t="s">
        <v>16</v>
      </c>
      <c r="BR6" s="470" t="s">
        <v>16</v>
      </c>
      <c r="BU6" s="493" t="s">
        <v>16</v>
      </c>
      <c r="BV6" s="491"/>
      <c r="BW6" s="494" t="s">
        <v>16</v>
      </c>
    </row>
    <row r="7" spans="1:75">
      <c r="A7" s="91"/>
      <c r="B7" s="92"/>
      <c r="C7" s="92"/>
      <c r="D7" s="92"/>
      <c r="E7" s="92"/>
      <c r="F7" s="92"/>
      <c r="G7" s="92"/>
      <c r="H7" s="92"/>
      <c r="I7" s="92"/>
      <c r="J7" s="92"/>
      <c r="K7" s="163"/>
      <c r="L7" s="163"/>
      <c r="M7" s="163"/>
      <c r="N7" s="163"/>
      <c r="O7" s="163"/>
      <c r="P7" s="163"/>
      <c r="Q7" s="163"/>
      <c r="R7" s="163"/>
      <c r="S7" s="163"/>
      <c r="T7" s="163"/>
      <c r="U7" s="163"/>
      <c r="V7" s="163"/>
      <c r="W7" s="163"/>
      <c r="X7" s="163"/>
      <c r="Y7" s="163"/>
      <c r="Z7" s="163"/>
      <c r="AA7" s="163"/>
      <c r="AB7" s="163"/>
      <c r="AC7" s="163"/>
      <c r="AD7" s="163"/>
      <c r="AE7" s="163"/>
      <c r="AF7" s="163"/>
      <c r="AG7" s="163"/>
      <c r="AH7" s="163"/>
      <c r="AI7" s="163"/>
      <c r="AJ7" s="163"/>
      <c r="AK7" s="163"/>
      <c r="AL7" s="163"/>
      <c r="AM7" s="163"/>
      <c r="AN7" s="163"/>
      <c r="AO7" s="163"/>
      <c r="AP7" s="163"/>
      <c r="AQ7" s="163"/>
      <c r="AR7" s="163"/>
      <c r="AS7" s="163"/>
      <c r="AT7" s="163"/>
      <c r="AU7" s="163"/>
      <c r="AV7" s="163"/>
      <c r="AW7" s="163"/>
      <c r="AX7" s="163"/>
      <c r="AY7" s="163"/>
      <c r="AZ7" s="163"/>
      <c r="BA7" s="163"/>
      <c r="BB7" s="163"/>
      <c r="BC7" s="163"/>
      <c r="BD7" s="163"/>
      <c r="BE7" s="163"/>
      <c r="BF7" s="163"/>
      <c r="BG7" s="163"/>
      <c r="BH7" s="163"/>
      <c r="BI7" s="163"/>
      <c r="BJ7" s="163"/>
      <c r="BK7" s="163"/>
      <c r="BL7" s="163"/>
      <c r="BM7" s="163"/>
      <c r="BN7" s="163"/>
      <c r="BO7" s="163"/>
      <c r="BP7" s="163"/>
      <c r="BQ7" s="163"/>
      <c r="BR7" s="115"/>
      <c r="BU7" s="479"/>
      <c r="BW7" s="480"/>
    </row>
    <row r="8" spans="1:75">
      <c r="A8" s="2" t="s">
        <v>21</v>
      </c>
      <c r="B8" s="21">
        <v>0.28265000000000001</v>
      </c>
      <c r="C8" s="21">
        <v>1.163961</v>
      </c>
      <c r="D8" s="21">
        <v>1.5366029999999999</v>
      </c>
      <c r="E8" s="21">
        <v>0</v>
      </c>
      <c r="F8" s="21">
        <v>1.8740000000000001</v>
      </c>
      <c r="G8" s="21">
        <v>0</v>
      </c>
      <c r="H8" s="21">
        <v>0</v>
      </c>
      <c r="I8" s="21"/>
      <c r="J8" s="21">
        <v>0</v>
      </c>
      <c r="K8" s="164"/>
      <c r="L8" s="164">
        <v>-3.3845E-2</v>
      </c>
      <c r="M8" s="164"/>
      <c r="N8" s="164"/>
      <c r="O8" s="164"/>
      <c r="P8" s="164"/>
      <c r="Q8" s="164"/>
      <c r="R8" s="164">
        <v>7.0000000000000001E-3</v>
      </c>
      <c r="S8" s="164">
        <v>1.0500000000000001E-2</v>
      </c>
      <c r="T8" s="164">
        <v>5.3900000000000003E-2</v>
      </c>
      <c r="U8" s="164">
        <v>8.8269999999999998E-3</v>
      </c>
      <c r="V8" s="164">
        <v>0.01</v>
      </c>
      <c r="W8" s="164"/>
      <c r="X8" s="164"/>
      <c r="Y8" s="164"/>
      <c r="Z8" s="164"/>
      <c r="AA8" s="164"/>
      <c r="AB8" s="164">
        <v>1.7999999999999999E-2</v>
      </c>
      <c r="AC8" s="164">
        <v>8.5999999999999993E-2</v>
      </c>
      <c r="AD8" s="164"/>
      <c r="AE8" s="164">
        <v>3.1E-2</v>
      </c>
      <c r="AF8" s="164"/>
      <c r="AG8" s="164"/>
      <c r="AH8" s="164"/>
      <c r="AI8" s="164"/>
      <c r="AJ8" s="164">
        <v>1.5010000000000001E-2</v>
      </c>
      <c r="AK8" s="164"/>
      <c r="AL8" s="164"/>
      <c r="AM8" s="164">
        <v>6.1020999999999999E-2</v>
      </c>
      <c r="AN8" s="164">
        <v>1.2152E-2</v>
      </c>
      <c r="AO8" s="164"/>
      <c r="AP8" s="164"/>
      <c r="AQ8" s="164"/>
      <c r="AR8" s="164"/>
      <c r="AS8" s="164"/>
      <c r="AT8" s="164"/>
      <c r="AU8" s="164"/>
      <c r="AV8" s="164"/>
      <c r="AW8" s="164"/>
      <c r="AX8" s="164"/>
      <c r="AY8" s="164"/>
      <c r="AZ8" s="164"/>
      <c r="BA8" s="164"/>
      <c r="BB8" s="164"/>
      <c r="BC8" s="164"/>
      <c r="BD8" s="164"/>
      <c r="BE8" s="164">
        <v>1.0586999999999999E-2</v>
      </c>
      <c r="BF8" s="164"/>
      <c r="BG8" s="164"/>
      <c r="BH8" s="164"/>
      <c r="BI8" s="164">
        <v>3.6667999999999999E-2</v>
      </c>
      <c r="BJ8" s="164"/>
      <c r="BK8" s="164"/>
      <c r="BL8" s="164"/>
      <c r="BM8" s="164"/>
      <c r="BN8" s="164"/>
      <c r="BO8" s="164"/>
      <c r="BP8" s="164"/>
      <c r="BQ8" s="164"/>
      <c r="BR8" s="305">
        <f>SUM(B8:BQ8)</f>
        <v>5.1840340000000005</v>
      </c>
      <c r="BS8" s="481"/>
      <c r="BU8" s="223">
        <v>5.1473660000000008</v>
      </c>
      <c r="BV8" s="51"/>
      <c r="BW8" s="293">
        <f>BU8-BR8</f>
        <v>-3.6667999999999701E-2</v>
      </c>
    </row>
    <row r="9" spans="1:75">
      <c r="A9" s="2"/>
      <c r="B9" s="21"/>
      <c r="C9" s="21"/>
      <c r="D9" s="21"/>
      <c r="E9" s="21"/>
      <c r="F9" s="21"/>
      <c r="G9" s="21"/>
      <c r="H9" s="21"/>
      <c r="I9" s="21"/>
      <c r="J9" s="21"/>
      <c r="K9" s="164"/>
      <c r="L9" s="164"/>
      <c r="M9" s="164"/>
      <c r="N9" s="164"/>
      <c r="O9" s="164"/>
      <c r="P9" s="164"/>
      <c r="Q9" s="164"/>
      <c r="R9" s="164"/>
      <c r="S9" s="164"/>
      <c r="T9" s="164"/>
      <c r="U9" s="164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4"/>
      <c r="AH9" s="164"/>
      <c r="AI9" s="164"/>
      <c r="AJ9" s="164"/>
      <c r="AK9" s="164"/>
      <c r="AL9" s="164"/>
      <c r="AM9" s="164"/>
      <c r="AN9" s="164"/>
      <c r="AO9" s="164"/>
      <c r="AP9" s="164"/>
      <c r="AQ9" s="164"/>
      <c r="AR9" s="164"/>
      <c r="AS9" s="164"/>
      <c r="AT9" s="164"/>
      <c r="AU9" s="164"/>
      <c r="AV9" s="164"/>
      <c r="AW9" s="164"/>
      <c r="AX9" s="164"/>
      <c r="AY9" s="164"/>
      <c r="AZ9" s="164"/>
      <c r="BA9" s="164"/>
      <c r="BB9" s="164"/>
      <c r="BC9" s="164"/>
      <c r="BD9" s="164"/>
      <c r="BE9" s="164"/>
      <c r="BF9" s="164"/>
      <c r="BG9" s="164"/>
      <c r="BH9" s="164"/>
      <c r="BI9" s="164"/>
      <c r="BJ9" s="164"/>
      <c r="BK9" s="164"/>
      <c r="BL9" s="164"/>
      <c r="BM9" s="164"/>
      <c r="BN9" s="164"/>
      <c r="BO9" s="164"/>
      <c r="BP9" s="164"/>
      <c r="BQ9" s="164"/>
      <c r="BR9" s="304"/>
      <c r="BS9" s="481"/>
      <c r="BU9" s="223"/>
      <c r="BV9" s="51"/>
      <c r="BW9" s="293"/>
    </row>
    <row r="10" spans="1:75">
      <c r="A10" s="99" t="s">
        <v>109</v>
      </c>
      <c r="B10" s="160">
        <v>0.27160499999999999</v>
      </c>
      <c r="C10" s="160">
        <v>1.886646</v>
      </c>
      <c r="D10" s="160">
        <v>1.569639</v>
      </c>
      <c r="E10" s="160">
        <v>0.96741900000000003</v>
      </c>
      <c r="F10" s="160">
        <v>1.2291750000000001</v>
      </c>
      <c r="G10" s="160">
        <v>0</v>
      </c>
      <c r="H10" s="160">
        <v>0</v>
      </c>
      <c r="I10" s="160"/>
      <c r="J10" s="160">
        <v>0</v>
      </c>
      <c r="K10" s="165"/>
      <c r="L10" s="165">
        <v>-3.7384000000000001E-2</v>
      </c>
      <c r="M10" s="165"/>
      <c r="N10" s="165"/>
      <c r="O10" s="165"/>
      <c r="P10" s="165"/>
      <c r="Q10" s="165"/>
      <c r="R10" s="165">
        <v>7.0000000000000001E-3</v>
      </c>
      <c r="S10" s="165">
        <v>1.34E-2</v>
      </c>
      <c r="T10" s="165">
        <v>5.3900000000000003E-2</v>
      </c>
      <c r="U10" s="165">
        <v>8.8269999999999998E-3</v>
      </c>
      <c r="V10" s="165">
        <v>0.01</v>
      </c>
      <c r="W10" s="165"/>
      <c r="X10" s="165"/>
      <c r="Y10" s="165"/>
      <c r="Z10" s="165"/>
      <c r="AA10" s="165"/>
      <c r="AB10" s="164">
        <v>1.7999999999999999E-2</v>
      </c>
      <c r="AC10" s="164">
        <v>0.125</v>
      </c>
      <c r="AD10" s="164"/>
      <c r="AE10" s="164"/>
      <c r="AF10" s="164"/>
      <c r="AG10" s="164"/>
      <c r="AH10" s="164"/>
      <c r="AI10" s="164"/>
      <c r="AJ10" s="164">
        <v>1.7877000000000001E-2</v>
      </c>
      <c r="AK10" s="164">
        <v>4.4448000000000001E-2</v>
      </c>
      <c r="AL10" s="164">
        <v>2.4303000000000002E-2</v>
      </c>
      <c r="AM10" s="164"/>
      <c r="AN10" s="164"/>
      <c r="AO10" s="164"/>
      <c r="AP10" s="164"/>
      <c r="AQ10" s="164"/>
      <c r="AR10" s="164"/>
      <c r="AS10" s="164"/>
      <c r="AT10" s="164"/>
      <c r="AU10" s="164"/>
      <c r="AV10" s="164"/>
      <c r="AW10" s="164"/>
      <c r="AX10" s="164"/>
      <c r="AY10" s="164"/>
      <c r="AZ10" s="164"/>
      <c r="BA10" s="164"/>
      <c r="BB10" s="164"/>
      <c r="BC10" s="164"/>
      <c r="BD10" s="164"/>
      <c r="BE10" s="164"/>
      <c r="BF10" s="164"/>
      <c r="BG10" s="164"/>
      <c r="BH10" s="164"/>
      <c r="BI10" s="164"/>
      <c r="BJ10" s="164"/>
      <c r="BK10" s="164"/>
      <c r="BL10" s="164"/>
      <c r="BM10" s="164"/>
      <c r="BN10" s="164"/>
      <c r="BO10" s="164"/>
      <c r="BP10" s="164"/>
      <c r="BQ10" s="164"/>
      <c r="BR10" s="305">
        <f>SUM(B10:BQ10)</f>
        <v>6.2098549999999983</v>
      </c>
      <c r="BS10" s="481"/>
      <c r="BU10" s="223">
        <v>6.2098549999999983</v>
      </c>
      <c r="BV10" s="51"/>
      <c r="BW10" s="293">
        <f>BU10-BR10</f>
        <v>0</v>
      </c>
    </row>
    <row r="11" spans="1:75">
      <c r="A11" s="2"/>
      <c r="B11" s="21"/>
      <c r="C11" s="21"/>
      <c r="D11" s="21"/>
      <c r="E11" s="21"/>
      <c r="F11" s="21"/>
      <c r="G11" s="21"/>
      <c r="H11" s="21"/>
      <c r="I11" s="21"/>
      <c r="J11" s="21"/>
      <c r="K11" s="164"/>
      <c r="L11" s="164"/>
      <c r="M11" s="164"/>
      <c r="N11" s="164"/>
      <c r="O11" s="164"/>
      <c r="P11" s="164"/>
      <c r="Q11" s="164"/>
      <c r="R11" s="164"/>
      <c r="S11" s="164"/>
      <c r="T11" s="164"/>
      <c r="U11" s="164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4"/>
      <c r="AH11" s="164"/>
      <c r="AI11" s="164"/>
      <c r="AJ11" s="164"/>
      <c r="AK11" s="164"/>
      <c r="AL11" s="164"/>
      <c r="AM11" s="164"/>
      <c r="AN11" s="164"/>
      <c r="AO11" s="164"/>
      <c r="AP11" s="164"/>
      <c r="AQ11" s="164"/>
      <c r="AR11" s="164"/>
      <c r="AS11" s="164"/>
      <c r="AT11" s="164"/>
      <c r="AU11" s="164"/>
      <c r="AV11" s="164"/>
      <c r="AW11" s="164"/>
      <c r="AX11" s="164"/>
      <c r="AY11" s="164"/>
      <c r="AZ11" s="164"/>
      <c r="BA11" s="164"/>
      <c r="BB11" s="164"/>
      <c r="BC11" s="164"/>
      <c r="BD11" s="164"/>
      <c r="BE11" s="164"/>
      <c r="BF11" s="164"/>
      <c r="BG11" s="164"/>
      <c r="BH11" s="164"/>
      <c r="BI11" s="164"/>
      <c r="BJ11" s="164"/>
      <c r="BK11" s="164"/>
      <c r="BL11" s="164"/>
      <c r="BM11" s="164"/>
      <c r="BN11" s="164"/>
      <c r="BO11" s="164"/>
      <c r="BP11" s="164"/>
      <c r="BQ11" s="164"/>
      <c r="BR11" s="304"/>
      <c r="BS11" s="481"/>
      <c r="BU11" s="223"/>
      <c r="BV11" s="51"/>
      <c r="BW11" s="293"/>
    </row>
    <row r="12" spans="1:75">
      <c r="A12" s="2" t="s">
        <v>22</v>
      </c>
      <c r="B12" s="21">
        <v>0.329129</v>
      </c>
      <c r="C12" s="21">
        <v>1.2235959999999999</v>
      </c>
      <c r="D12" s="21">
        <v>1.921627</v>
      </c>
      <c r="E12" s="21">
        <v>0.30313000000000001</v>
      </c>
      <c r="F12" s="21">
        <v>1.377</v>
      </c>
      <c r="G12" s="21">
        <v>0</v>
      </c>
      <c r="H12" s="21">
        <v>0</v>
      </c>
      <c r="I12" s="21"/>
      <c r="J12" s="21">
        <v>0</v>
      </c>
      <c r="K12" s="164"/>
      <c r="L12" s="164">
        <v>-1.1079E-2</v>
      </c>
      <c r="M12" s="164"/>
      <c r="N12" s="164"/>
      <c r="O12" s="164"/>
      <c r="P12" s="164"/>
      <c r="Q12" s="164"/>
      <c r="R12" s="164">
        <v>7.0000000000000001E-3</v>
      </c>
      <c r="S12" s="164">
        <v>1.1599999999999999E-2</v>
      </c>
      <c r="T12" s="164">
        <v>5.3900000000000003E-2</v>
      </c>
      <c r="U12" s="164">
        <v>8.8269999999999998E-3</v>
      </c>
      <c r="V12" s="164">
        <v>0.01</v>
      </c>
      <c r="W12" s="164"/>
      <c r="X12" s="164"/>
      <c r="Y12" s="164"/>
      <c r="Z12" s="164"/>
      <c r="AA12" s="164"/>
      <c r="AB12" s="164">
        <v>1.7999999999999999E-2</v>
      </c>
      <c r="AC12" s="164">
        <v>6.6000000000000003E-2</v>
      </c>
      <c r="AD12" s="164"/>
      <c r="AE12" s="164"/>
      <c r="AF12" s="164"/>
      <c r="AG12" s="164"/>
      <c r="AH12" s="164"/>
      <c r="AI12" s="164">
        <v>-6.9829999999999996E-3</v>
      </c>
      <c r="AJ12" s="164">
        <v>1.2297000000000001E-2</v>
      </c>
      <c r="AK12" s="164"/>
      <c r="AL12" s="164"/>
      <c r="AM12" s="164"/>
      <c r="AN12" s="164"/>
      <c r="AO12" s="164"/>
      <c r="AP12" s="164"/>
      <c r="AQ12" s="164"/>
      <c r="AR12" s="164"/>
      <c r="AS12" s="164"/>
      <c r="AT12" s="164"/>
      <c r="AU12" s="164"/>
      <c r="AV12" s="164"/>
      <c r="AW12" s="164"/>
      <c r="AX12" s="164"/>
      <c r="AY12" s="164"/>
      <c r="AZ12" s="164"/>
      <c r="BA12" s="164"/>
      <c r="BB12" s="164"/>
      <c r="BC12" s="164"/>
      <c r="BD12" s="164"/>
      <c r="BE12" s="164"/>
      <c r="BF12" s="164"/>
      <c r="BG12" s="164"/>
      <c r="BH12" s="164"/>
      <c r="BI12" s="164"/>
      <c r="BJ12" s="164"/>
      <c r="BK12" s="164"/>
      <c r="BL12" s="164"/>
      <c r="BM12" s="164"/>
      <c r="BN12" s="164"/>
      <c r="BO12" s="164"/>
      <c r="BP12" s="164"/>
      <c r="BQ12" s="164"/>
      <c r="BR12" s="305">
        <f>SUM(B12:BQ12)</f>
        <v>5.3240439999999989</v>
      </c>
      <c r="BS12" s="481"/>
      <c r="BT12" s="162">
        <f>SUM(BR8:BR20)</f>
        <v>31.878166</v>
      </c>
      <c r="BU12" s="223">
        <v>5.3240439999999989</v>
      </c>
      <c r="BV12" s="51"/>
      <c r="BW12" s="293">
        <f>BU12-BR12</f>
        <v>0</v>
      </c>
    </row>
    <row r="13" spans="1:75">
      <c r="A13" s="2"/>
      <c r="B13" s="21"/>
      <c r="C13" s="21"/>
      <c r="D13" s="21"/>
      <c r="E13" s="21"/>
      <c r="F13" s="21"/>
      <c r="G13" s="21"/>
      <c r="H13" s="21"/>
      <c r="I13" s="21"/>
      <c r="J13" s="21"/>
      <c r="K13" s="164"/>
      <c r="L13" s="164"/>
      <c r="M13" s="164"/>
      <c r="N13" s="164"/>
      <c r="O13" s="164"/>
      <c r="P13" s="164"/>
      <c r="Q13" s="164"/>
      <c r="R13" s="164"/>
      <c r="S13" s="164"/>
      <c r="T13" s="164"/>
      <c r="U13" s="164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4"/>
      <c r="AH13" s="164"/>
      <c r="AI13" s="164"/>
      <c r="AJ13" s="164"/>
      <c r="AK13" s="164"/>
      <c r="AL13" s="164"/>
      <c r="AM13" s="164"/>
      <c r="AN13" s="164"/>
      <c r="AO13" s="164"/>
      <c r="AP13" s="164"/>
      <c r="AQ13" s="164"/>
      <c r="AR13" s="164"/>
      <c r="AS13" s="164"/>
      <c r="AT13" s="164"/>
      <c r="AU13" s="164"/>
      <c r="AV13" s="164"/>
      <c r="AW13" s="164"/>
      <c r="AX13" s="164"/>
      <c r="AY13" s="164"/>
      <c r="AZ13" s="164"/>
      <c r="BA13" s="164"/>
      <c r="BB13" s="164"/>
      <c r="BC13" s="164"/>
      <c r="BD13" s="164"/>
      <c r="BE13" s="164"/>
      <c r="BF13" s="164"/>
      <c r="BG13" s="164"/>
      <c r="BH13" s="164"/>
      <c r="BI13" s="164"/>
      <c r="BJ13" s="164"/>
      <c r="BK13" s="164"/>
      <c r="BL13" s="164"/>
      <c r="BM13" s="164"/>
      <c r="BN13" s="164"/>
      <c r="BO13" s="164"/>
      <c r="BP13" s="164"/>
      <c r="BQ13" s="164"/>
      <c r="BR13" s="304"/>
      <c r="BS13" s="481"/>
      <c r="BU13" s="223"/>
      <c r="BV13" s="51"/>
      <c r="BW13" s="293"/>
    </row>
    <row r="14" spans="1:75">
      <c r="A14" s="2" t="s">
        <v>206</v>
      </c>
      <c r="B14" s="21">
        <f>0.0603+0.117825</f>
        <v>0.17812500000000001</v>
      </c>
      <c r="C14" s="21">
        <v>0.81642300000000001</v>
      </c>
      <c r="D14" s="21">
        <v>0.63953599999999999</v>
      </c>
      <c r="E14" s="21">
        <v>0.62220900000000001</v>
      </c>
      <c r="F14" s="21">
        <v>1.1200000000000001</v>
      </c>
      <c r="G14" s="21">
        <v>0</v>
      </c>
      <c r="H14" s="21">
        <v>0</v>
      </c>
      <c r="I14" s="21"/>
      <c r="J14" s="21">
        <v>0</v>
      </c>
      <c r="K14" s="164"/>
      <c r="L14" s="164">
        <v>-3.4934E-2</v>
      </c>
      <c r="M14" s="164"/>
      <c r="N14" s="164"/>
      <c r="O14" s="164"/>
      <c r="P14" s="164"/>
      <c r="Q14" s="164">
        <f>0.029537+0.043843</f>
        <v>7.3380000000000001E-2</v>
      </c>
      <c r="R14" s="164">
        <v>7.0000000000000001E-3</v>
      </c>
      <c r="S14" s="164">
        <v>6.7000000000000002E-3</v>
      </c>
      <c r="T14" s="164">
        <v>3.0800000000000001E-2</v>
      </c>
      <c r="U14" s="164">
        <v>5.8849999999999996E-3</v>
      </c>
      <c r="V14" s="164">
        <v>0.01</v>
      </c>
      <c r="W14" s="164"/>
      <c r="X14" s="164"/>
      <c r="Y14" s="164"/>
      <c r="Z14" s="164"/>
      <c r="AA14" s="164"/>
      <c r="AB14" s="164">
        <v>1.7999999999999999E-2</v>
      </c>
      <c r="AC14" s="164">
        <v>5.7000000000000002E-2</v>
      </c>
      <c r="AD14" s="164"/>
      <c r="AE14" s="164"/>
      <c r="AF14" s="164"/>
      <c r="AG14" s="164"/>
      <c r="AH14" s="164"/>
      <c r="AI14" s="164">
        <v>-6.9829999999999996E-3</v>
      </c>
      <c r="AJ14" s="164">
        <v>7.7499999999999999E-3</v>
      </c>
      <c r="AK14" s="164"/>
      <c r="AL14" s="164"/>
      <c r="AM14" s="164"/>
      <c r="AN14" s="164"/>
      <c r="AO14" s="164">
        <v>1.4914E-2</v>
      </c>
      <c r="AP14" s="164">
        <v>8.5500000000000007E-2</v>
      </c>
      <c r="AQ14" s="164"/>
      <c r="AR14" s="164"/>
      <c r="AS14" s="164"/>
      <c r="AT14" s="164"/>
      <c r="AU14" s="164"/>
      <c r="AV14" s="164"/>
      <c r="AW14" s="164"/>
      <c r="AX14" s="164"/>
      <c r="AY14" s="164"/>
      <c r="AZ14" s="164"/>
      <c r="BA14" s="164"/>
      <c r="BB14" s="164"/>
      <c r="BC14" s="164"/>
      <c r="BD14" s="164"/>
      <c r="BE14" s="164"/>
      <c r="BF14" s="164"/>
      <c r="BG14" s="164"/>
      <c r="BH14" s="164"/>
      <c r="BI14" s="164"/>
      <c r="BJ14" s="164">
        <v>7.6886999999999997E-2</v>
      </c>
      <c r="BK14" s="164"/>
      <c r="BL14" s="164"/>
      <c r="BM14" s="164"/>
      <c r="BN14" s="164"/>
      <c r="BO14" s="164"/>
      <c r="BP14" s="164"/>
      <c r="BQ14" s="164"/>
      <c r="BR14" s="305">
        <f>SUM(B14:BQ14)+1.818013066</f>
        <v>5.5462050660000015</v>
      </c>
      <c r="BS14" s="481"/>
      <c r="BU14" s="223">
        <v>5.4693180660000014</v>
      </c>
      <c r="BV14" s="51"/>
      <c r="BW14" s="293">
        <f>BU14-BR14</f>
        <v>-7.688700000000015E-2</v>
      </c>
    </row>
    <row r="15" spans="1:75">
      <c r="A15" s="1"/>
      <c r="B15" s="161"/>
      <c r="C15" s="161"/>
      <c r="D15" s="161"/>
      <c r="E15" s="161"/>
      <c r="F15" s="161"/>
      <c r="G15" s="161"/>
      <c r="H15" s="161"/>
      <c r="I15" s="161"/>
      <c r="J15" s="161"/>
      <c r="K15" s="166"/>
      <c r="L15" s="166"/>
      <c r="M15" s="166"/>
      <c r="N15" s="166"/>
      <c r="O15" s="166"/>
      <c r="P15" s="166"/>
      <c r="Q15" s="166"/>
      <c r="R15" s="166"/>
      <c r="S15" s="166"/>
      <c r="T15" s="166"/>
      <c r="U15" s="166"/>
      <c r="V15" s="166"/>
      <c r="W15" s="166"/>
      <c r="X15" s="166"/>
      <c r="Y15" s="166"/>
      <c r="Z15" s="166"/>
      <c r="AA15" s="166"/>
      <c r="AB15" s="166"/>
      <c r="AC15" s="166"/>
      <c r="AD15" s="166"/>
      <c r="AE15" s="166"/>
      <c r="AF15" s="166"/>
      <c r="AG15" s="166"/>
      <c r="AH15" s="166"/>
      <c r="AI15" s="166"/>
      <c r="AJ15" s="166"/>
      <c r="AK15" s="166"/>
      <c r="AL15" s="166"/>
      <c r="AM15" s="166"/>
      <c r="AN15" s="166"/>
      <c r="AO15" s="166"/>
      <c r="AP15" s="166"/>
      <c r="AQ15" s="166"/>
      <c r="AR15" s="166"/>
      <c r="AS15" s="166"/>
      <c r="AT15" s="166"/>
      <c r="AU15" s="166"/>
      <c r="AV15" s="166"/>
      <c r="AW15" s="166"/>
      <c r="AX15" s="166"/>
      <c r="AY15" s="166"/>
      <c r="AZ15" s="166"/>
      <c r="BA15" s="166"/>
      <c r="BB15" s="166"/>
      <c r="BC15" s="166"/>
      <c r="BD15" s="166"/>
      <c r="BE15" s="166"/>
      <c r="BF15" s="166"/>
      <c r="BG15" s="166"/>
      <c r="BH15" s="166"/>
      <c r="BI15" s="166"/>
      <c r="BJ15" s="166"/>
      <c r="BK15" s="166"/>
      <c r="BL15" s="166"/>
      <c r="BM15" s="166"/>
      <c r="BN15" s="166"/>
      <c r="BO15" s="166"/>
      <c r="BP15" s="166"/>
      <c r="BQ15" s="166"/>
      <c r="BR15" s="304"/>
      <c r="BS15" s="481"/>
      <c r="BU15" s="224"/>
      <c r="BV15" s="51"/>
      <c r="BW15" s="293"/>
    </row>
    <row r="16" spans="1:75">
      <c r="A16" s="2" t="s">
        <v>24</v>
      </c>
      <c r="B16" s="21">
        <v>0.22966400000000001</v>
      </c>
      <c r="C16" s="21">
        <v>1.0558380000000001</v>
      </c>
      <c r="D16" s="21">
        <v>1.1668179999999999</v>
      </c>
      <c r="E16" s="21">
        <v>0.28273399999999999</v>
      </c>
      <c r="F16" s="21">
        <v>1.1279999999999999</v>
      </c>
      <c r="G16" s="21">
        <v>0</v>
      </c>
      <c r="H16" s="21">
        <v>0</v>
      </c>
      <c r="I16" s="21"/>
      <c r="J16" s="21">
        <v>0</v>
      </c>
      <c r="K16" s="164"/>
      <c r="L16" s="164"/>
      <c r="M16" s="164"/>
      <c r="N16" s="164"/>
      <c r="O16" s="164"/>
      <c r="P16" s="164"/>
      <c r="Q16" s="164"/>
      <c r="R16" s="164">
        <v>7.0000000000000001E-3</v>
      </c>
      <c r="S16" s="164">
        <v>7.3000000000000001E-3</v>
      </c>
      <c r="T16" s="164">
        <v>3.0800000000000001E-2</v>
      </c>
      <c r="U16" s="164">
        <v>5.8849999999999996E-3</v>
      </c>
      <c r="V16" s="164">
        <v>0.01</v>
      </c>
      <c r="W16" s="164">
        <v>-4.8947999999999998E-2</v>
      </c>
      <c r="X16" s="164"/>
      <c r="Y16" s="164"/>
      <c r="Z16" s="164"/>
      <c r="AA16" s="164"/>
      <c r="AB16" s="164">
        <v>1.7999999999999999E-2</v>
      </c>
      <c r="AC16" s="164">
        <v>6.8000000000000005E-2</v>
      </c>
      <c r="AD16" s="164"/>
      <c r="AE16" s="164"/>
      <c r="AF16" s="164"/>
      <c r="AG16" s="164"/>
      <c r="AH16" s="164">
        <v>-2.0611999999999998E-2</v>
      </c>
      <c r="AI16" s="164"/>
      <c r="AJ16" s="164">
        <v>9.8689999999999993E-3</v>
      </c>
      <c r="AK16" s="164"/>
      <c r="AL16" s="164"/>
      <c r="AM16" s="164"/>
      <c r="AN16" s="164"/>
      <c r="AO16" s="164"/>
      <c r="AP16" s="164"/>
      <c r="AQ16" s="164"/>
      <c r="AR16" s="164"/>
      <c r="AS16" s="164"/>
      <c r="AT16" s="164"/>
      <c r="AU16" s="164"/>
      <c r="AV16" s="164"/>
      <c r="AW16" s="164"/>
      <c r="AX16" s="164"/>
      <c r="AY16" s="164"/>
      <c r="AZ16" s="164"/>
      <c r="BA16" s="164"/>
      <c r="BB16" s="164"/>
      <c r="BC16" s="164"/>
      <c r="BD16" s="164"/>
      <c r="BE16" s="164"/>
      <c r="BF16" s="164"/>
      <c r="BG16" s="164"/>
      <c r="BH16" s="164"/>
      <c r="BI16" s="164"/>
      <c r="BJ16" s="164"/>
      <c r="BK16" s="164"/>
      <c r="BL16" s="164"/>
      <c r="BM16" s="164"/>
      <c r="BN16" s="164"/>
      <c r="BO16" s="164"/>
      <c r="BP16" s="164"/>
      <c r="BQ16" s="164"/>
      <c r="BR16" s="305">
        <f>SUM(B16:BQ16)</f>
        <v>3.950348</v>
      </c>
      <c r="BS16" s="481"/>
      <c r="BU16" s="223">
        <v>3.950348</v>
      </c>
      <c r="BV16" s="51"/>
      <c r="BW16" s="293">
        <f>BU16-BR16</f>
        <v>0</v>
      </c>
    </row>
    <row r="17" spans="1:75">
      <c r="A17" s="2"/>
      <c r="B17" s="21"/>
      <c r="C17" s="21"/>
      <c r="D17" s="21"/>
      <c r="E17" s="21"/>
      <c r="F17" s="21"/>
      <c r="G17" s="21"/>
      <c r="H17" s="21"/>
      <c r="I17" s="21"/>
      <c r="J17" s="21"/>
      <c r="K17" s="164"/>
      <c r="L17" s="164"/>
      <c r="M17" s="164"/>
      <c r="N17" s="164"/>
      <c r="O17" s="164"/>
      <c r="P17" s="164"/>
      <c r="Q17" s="164"/>
      <c r="R17" s="164"/>
      <c r="S17" s="164"/>
      <c r="T17" s="164"/>
      <c r="U17" s="164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4"/>
      <c r="AH17" s="164"/>
      <c r="AI17" s="164"/>
      <c r="AJ17" s="164"/>
      <c r="AK17" s="164"/>
      <c r="AL17" s="164"/>
      <c r="AM17" s="164"/>
      <c r="AN17" s="164"/>
      <c r="AO17" s="164"/>
      <c r="AP17" s="164"/>
      <c r="AQ17" s="164"/>
      <c r="AR17" s="164"/>
      <c r="AS17" s="164"/>
      <c r="AT17" s="164"/>
      <c r="AU17" s="164"/>
      <c r="AV17" s="164"/>
      <c r="AW17" s="164"/>
      <c r="AX17" s="164"/>
      <c r="AY17" s="164"/>
      <c r="AZ17" s="164"/>
      <c r="BA17" s="164"/>
      <c r="BB17" s="164"/>
      <c r="BC17" s="164"/>
      <c r="BD17" s="164"/>
      <c r="BE17" s="164"/>
      <c r="BF17" s="164"/>
      <c r="BG17" s="164"/>
      <c r="BH17" s="164"/>
      <c r="BI17" s="164"/>
      <c r="BJ17" s="164"/>
      <c r="BK17" s="164"/>
      <c r="BL17" s="164"/>
      <c r="BM17" s="164"/>
      <c r="BN17" s="164"/>
      <c r="BO17" s="164"/>
      <c r="BP17" s="164"/>
      <c r="BQ17" s="164"/>
      <c r="BR17" s="304"/>
      <c r="BS17" s="481"/>
      <c r="BU17" s="223"/>
      <c r="BV17" s="51"/>
      <c r="BW17" s="293"/>
    </row>
    <row r="18" spans="1:75">
      <c r="A18" s="2" t="s">
        <v>23</v>
      </c>
      <c r="B18" s="21">
        <v>6.4367999999999995E-2</v>
      </c>
      <c r="C18" s="21">
        <v>0.170741</v>
      </c>
      <c r="D18" s="21">
        <v>0.253917</v>
      </c>
      <c r="E18" s="21">
        <v>9.3273999999999996E-2</v>
      </c>
      <c r="F18" s="21">
        <v>0.40300000000000002</v>
      </c>
      <c r="G18" s="21">
        <v>0</v>
      </c>
      <c r="H18" s="21">
        <v>0</v>
      </c>
      <c r="I18" s="21"/>
      <c r="J18" s="21">
        <v>0</v>
      </c>
      <c r="K18" s="164"/>
      <c r="L18" s="164">
        <v>-4.1567E-2</v>
      </c>
      <c r="M18" s="164"/>
      <c r="N18" s="164"/>
      <c r="O18" s="164"/>
      <c r="P18" s="164"/>
      <c r="Q18" s="164"/>
      <c r="R18" s="164">
        <v>7.0000000000000001E-3</v>
      </c>
      <c r="S18" s="164">
        <v>1.4E-3</v>
      </c>
      <c r="T18" s="164">
        <v>7.7000000000000002E-3</v>
      </c>
      <c r="U18" s="164">
        <v>1.9610000000000001E-3</v>
      </c>
      <c r="V18" s="164">
        <v>0.01</v>
      </c>
      <c r="W18" s="164">
        <v>-1.4865E-2</v>
      </c>
      <c r="X18" s="164"/>
      <c r="Y18" s="164"/>
      <c r="Z18" s="164"/>
      <c r="AA18" s="164"/>
      <c r="AB18" s="164">
        <v>1.7999999999999999E-2</v>
      </c>
      <c r="AC18" s="164">
        <v>2.3E-2</v>
      </c>
      <c r="AD18" s="164"/>
      <c r="AE18" s="164"/>
      <c r="AF18" s="164"/>
      <c r="AG18" s="164"/>
      <c r="AH18" s="164"/>
      <c r="AI18" s="164"/>
      <c r="AJ18" s="164">
        <v>3.5130000000000001E-3</v>
      </c>
      <c r="AK18" s="164"/>
      <c r="AL18" s="164"/>
      <c r="AM18" s="164"/>
      <c r="AN18" s="164"/>
      <c r="AO18" s="164"/>
      <c r="AP18" s="164"/>
      <c r="AQ18" s="164"/>
      <c r="AR18" s="164"/>
      <c r="AS18" s="164"/>
      <c r="AT18" s="164"/>
      <c r="AU18" s="164"/>
      <c r="AV18" s="164"/>
      <c r="AW18" s="164"/>
      <c r="AX18" s="164"/>
      <c r="AY18" s="164"/>
      <c r="AZ18" s="164"/>
      <c r="BA18" s="164"/>
      <c r="BB18" s="164"/>
      <c r="BC18" s="164"/>
      <c r="BD18" s="164"/>
      <c r="BE18" s="164"/>
      <c r="BF18" s="164"/>
      <c r="BG18" s="164"/>
      <c r="BH18" s="164"/>
      <c r="BI18" s="164"/>
      <c r="BJ18" s="164"/>
      <c r="BK18" s="164"/>
      <c r="BL18" s="164"/>
      <c r="BM18" s="164"/>
      <c r="BN18" s="164"/>
      <c r="BO18" s="164"/>
      <c r="BP18" s="164"/>
      <c r="BQ18" s="164"/>
      <c r="BR18" s="305">
        <f>SUM(B18:BQ18)</f>
        <v>1.0014420000000002</v>
      </c>
      <c r="BS18" s="481"/>
      <c r="BU18" s="223">
        <v>1.0014420000000002</v>
      </c>
      <c r="BV18" s="51"/>
      <c r="BW18" s="293">
        <f>BU18-BR18</f>
        <v>0</v>
      </c>
    </row>
    <row r="19" spans="1:75">
      <c r="A19" s="2"/>
      <c r="B19" s="21"/>
      <c r="C19" s="21"/>
      <c r="D19" s="21"/>
      <c r="E19" s="21"/>
      <c r="F19" s="21"/>
      <c r="G19" s="21"/>
      <c r="H19" s="21"/>
      <c r="I19" s="21"/>
      <c r="J19" s="21"/>
      <c r="K19" s="164"/>
      <c r="L19" s="164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164"/>
      <c r="AD19" s="164"/>
      <c r="AE19" s="164"/>
      <c r="AF19" s="164"/>
      <c r="AG19" s="164"/>
      <c r="AH19" s="164"/>
      <c r="AI19" s="164"/>
      <c r="AJ19" s="164"/>
      <c r="AK19" s="164"/>
      <c r="AL19" s="164"/>
      <c r="AM19" s="164"/>
      <c r="AN19" s="164"/>
      <c r="AO19" s="164"/>
      <c r="AP19" s="164"/>
      <c r="AQ19" s="164"/>
      <c r="AR19" s="164"/>
      <c r="AS19" s="164"/>
      <c r="AT19" s="164"/>
      <c r="AU19" s="164"/>
      <c r="AV19" s="164"/>
      <c r="AW19" s="164"/>
      <c r="AX19" s="164"/>
      <c r="AY19" s="164"/>
      <c r="AZ19" s="164"/>
      <c r="BA19" s="164"/>
      <c r="BB19" s="164"/>
      <c r="BC19" s="164"/>
      <c r="BD19" s="164"/>
      <c r="BE19" s="164"/>
      <c r="BF19" s="164"/>
      <c r="BG19" s="164"/>
      <c r="BH19" s="164"/>
      <c r="BI19" s="164"/>
      <c r="BJ19" s="164"/>
      <c r="BK19" s="164"/>
      <c r="BL19" s="164"/>
      <c r="BM19" s="164"/>
      <c r="BN19" s="164"/>
      <c r="BO19" s="164"/>
      <c r="BP19" s="164"/>
      <c r="BQ19" s="164"/>
      <c r="BR19" s="305"/>
      <c r="BS19" s="482"/>
      <c r="BU19" s="223"/>
      <c r="BV19" s="51"/>
      <c r="BW19" s="293"/>
    </row>
    <row r="20" spans="1:75">
      <c r="A20" s="2" t="s">
        <v>207</v>
      </c>
      <c r="B20" s="21">
        <v>0.313581</v>
      </c>
      <c r="C20" s="21">
        <v>1.6711020000000001</v>
      </c>
      <c r="D20" s="21">
        <v>1.0533859999999999</v>
      </c>
      <c r="E20" s="21">
        <v>1.614217</v>
      </c>
      <c r="F20" s="21">
        <v>1.5049999999999999</v>
      </c>
      <c r="G20" s="21">
        <v>0</v>
      </c>
      <c r="H20" s="21">
        <v>0</v>
      </c>
      <c r="I20" s="21"/>
      <c r="J20" s="21">
        <v>0</v>
      </c>
      <c r="K20" s="164"/>
      <c r="L20" s="164"/>
      <c r="M20" s="164"/>
      <c r="N20" s="164"/>
      <c r="O20" s="164"/>
      <c r="P20" s="164"/>
      <c r="Q20" s="164"/>
      <c r="R20" s="164">
        <v>7.0000000000000001E-3</v>
      </c>
      <c r="S20" s="164">
        <v>1.2699999999999999E-2</v>
      </c>
      <c r="T20" s="164">
        <v>5.3900000000000003E-2</v>
      </c>
      <c r="U20" s="164">
        <v>8.8269999999999998E-3</v>
      </c>
      <c r="V20" s="164">
        <v>0.01</v>
      </c>
      <c r="W20" s="164"/>
      <c r="X20" s="164"/>
      <c r="Y20" s="164">
        <f>-0.04+-0.022133+0.044266+0.037775+0.082041</f>
        <v>0.10194900000000001</v>
      </c>
      <c r="Z20" s="164"/>
      <c r="AA20" s="164"/>
      <c r="AB20" s="164">
        <v>1.7999999999999999E-2</v>
      </c>
      <c r="AC20" s="164">
        <v>9.7000000000000003E-2</v>
      </c>
      <c r="AD20" s="164"/>
      <c r="AE20" s="164"/>
      <c r="AF20" s="164"/>
      <c r="AG20" s="164"/>
      <c r="AH20" s="164"/>
      <c r="AI20" s="164"/>
      <c r="AJ20" s="164">
        <v>1.3589E-2</v>
      </c>
      <c r="AK20" s="164"/>
      <c r="AL20" s="164"/>
      <c r="AM20" s="164"/>
      <c r="AN20" s="164"/>
      <c r="AO20" s="164"/>
      <c r="AP20" s="164"/>
      <c r="AQ20" s="164"/>
      <c r="AR20" s="164"/>
      <c r="AS20" s="164"/>
      <c r="AT20" s="164"/>
      <c r="AU20" s="164"/>
      <c r="AV20" s="164"/>
      <c r="AW20" s="164"/>
      <c r="AX20" s="164"/>
      <c r="AY20" s="164"/>
      <c r="AZ20" s="164"/>
      <c r="BA20" s="164"/>
      <c r="BB20" s="164"/>
      <c r="BC20" s="164"/>
      <c r="BD20" s="164"/>
      <c r="BE20" s="164"/>
      <c r="BF20" s="164"/>
      <c r="BG20" s="164"/>
      <c r="BH20" s="164"/>
      <c r="BI20" s="164"/>
      <c r="BJ20" s="164"/>
      <c r="BK20" s="164"/>
      <c r="BL20" s="164"/>
      <c r="BM20" s="164"/>
      <c r="BN20" s="164"/>
      <c r="BO20" s="164"/>
      <c r="BP20" s="164"/>
      <c r="BQ20" s="164"/>
      <c r="BR20" s="305">
        <f>SUM(B20:BQ20)-1.818013066</f>
        <v>4.6622379339999993</v>
      </c>
      <c r="BS20" s="481"/>
      <c r="BU20" s="223">
        <v>4.6622379339999993</v>
      </c>
      <c r="BV20" s="51"/>
      <c r="BW20" s="293">
        <f>BU20-BR20</f>
        <v>0</v>
      </c>
    </row>
    <row r="21" spans="1:75">
      <c r="A21" s="2"/>
      <c r="B21" s="21"/>
      <c r="C21" s="21"/>
      <c r="D21" s="21"/>
      <c r="E21" s="21"/>
      <c r="F21" s="21"/>
      <c r="G21" s="21"/>
      <c r="H21" s="21"/>
      <c r="I21" s="21"/>
      <c r="J21" s="21"/>
      <c r="K21" s="164"/>
      <c r="L21" s="164"/>
      <c r="M21" s="164"/>
      <c r="N21" s="164"/>
      <c r="O21" s="164"/>
      <c r="P21" s="164"/>
      <c r="Q21" s="164"/>
      <c r="R21" s="164"/>
      <c r="S21" s="164"/>
      <c r="T21" s="164"/>
      <c r="U21" s="164"/>
      <c r="V21" s="164"/>
      <c r="W21" s="164"/>
      <c r="X21" s="164"/>
      <c r="Y21" s="164"/>
      <c r="Z21" s="164"/>
      <c r="AA21" s="164"/>
      <c r="AB21" s="164"/>
      <c r="AC21" s="164"/>
      <c r="AD21" s="164"/>
      <c r="AE21" s="164"/>
      <c r="AF21" s="164"/>
      <c r="AG21" s="164"/>
      <c r="AH21" s="164"/>
      <c r="AI21" s="164"/>
      <c r="AJ21" s="164"/>
      <c r="AK21" s="164"/>
      <c r="AL21" s="164"/>
      <c r="AM21" s="164"/>
      <c r="AN21" s="164"/>
      <c r="AO21" s="164"/>
      <c r="AP21" s="164"/>
      <c r="AQ21" s="164"/>
      <c r="AR21" s="164"/>
      <c r="AS21" s="164"/>
      <c r="AT21" s="164"/>
      <c r="AU21" s="164"/>
      <c r="AV21" s="164"/>
      <c r="AW21" s="164"/>
      <c r="AX21" s="164"/>
      <c r="AY21" s="164"/>
      <c r="AZ21" s="164"/>
      <c r="BA21" s="164"/>
      <c r="BB21" s="164"/>
      <c r="BC21" s="164"/>
      <c r="BD21" s="164"/>
      <c r="BE21" s="164"/>
      <c r="BF21" s="164"/>
      <c r="BG21" s="164"/>
      <c r="BH21" s="164"/>
      <c r="BI21" s="164"/>
      <c r="BJ21" s="164"/>
      <c r="BK21" s="164"/>
      <c r="BL21" s="164"/>
      <c r="BM21" s="164"/>
      <c r="BN21" s="164"/>
      <c r="BO21" s="164"/>
      <c r="BP21" s="164"/>
      <c r="BQ21" s="164"/>
      <c r="BR21" s="116"/>
      <c r="BU21" s="168"/>
      <c r="BV21" s="51"/>
      <c r="BW21" s="293"/>
    </row>
    <row r="22" spans="1:75">
      <c r="A22" s="2" t="s">
        <v>37</v>
      </c>
      <c r="B22" s="21">
        <v>0</v>
      </c>
      <c r="C22" s="21">
        <v>0</v>
      </c>
      <c r="D22" s="21">
        <v>0</v>
      </c>
      <c r="E22" s="21">
        <v>0</v>
      </c>
      <c r="F22" s="21">
        <v>-2.8202000000000001E-2</v>
      </c>
      <c r="G22" s="21">
        <v>0</v>
      </c>
      <c r="H22" s="21">
        <v>0</v>
      </c>
      <c r="I22" s="21"/>
      <c r="J22" s="21">
        <v>0</v>
      </c>
      <c r="K22" s="164"/>
      <c r="L22" s="164"/>
      <c r="M22" s="164"/>
      <c r="N22" s="164"/>
      <c r="O22" s="164"/>
      <c r="P22" s="164"/>
      <c r="Q22" s="164"/>
      <c r="R22" s="164"/>
      <c r="S22" s="164"/>
      <c r="T22" s="164"/>
      <c r="U22" s="164"/>
      <c r="V22" s="164"/>
      <c r="W22" s="164"/>
      <c r="X22" s="164"/>
      <c r="Y22" s="164"/>
      <c r="Z22" s="164"/>
      <c r="AA22" s="164"/>
      <c r="AB22" s="164"/>
      <c r="AC22" s="164"/>
      <c r="AD22" s="164"/>
      <c r="AE22" s="164"/>
      <c r="AF22" s="164"/>
      <c r="AG22" s="164"/>
      <c r="AH22" s="164"/>
      <c r="AI22" s="164"/>
      <c r="AJ22" s="164"/>
      <c r="AK22" s="164"/>
      <c r="AL22" s="164"/>
      <c r="AM22" s="164"/>
      <c r="AN22" s="164"/>
      <c r="AO22" s="164"/>
      <c r="AP22" s="164"/>
      <c r="AQ22" s="164"/>
      <c r="AR22" s="164"/>
      <c r="AS22" s="164"/>
      <c r="AT22" s="164"/>
      <c r="AU22" s="164"/>
      <c r="AV22" s="164"/>
      <c r="AW22" s="164"/>
      <c r="AX22" s="164"/>
      <c r="AY22" s="164"/>
      <c r="AZ22" s="164"/>
      <c r="BA22" s="164"/>
      <c r="BB22" s="164"/>
      <c r="BC22" s="164"/>
      <c r="BD22" s="164"/>
      <c r="BE22" s="164"/>
      <c r="BF22" s="164"/>
      <c r="BG22" s="164"/>
      <c r="BH22" s="164"/>
      <c r="BI22" s="164"/>
      <c r="BJ22" s="164"/>
      <c r="BK22" s="164"/>
      <c r="BL22" s="164"/>
      <c r="BM22" s="164"/>
      <c r="BN22" s="164"/>
      <c r="BO22" s="164"/>
      <c r="BP22" s="164"/>
      <c r="BQ22" s="164"/>
      <c r="BR22" s="305">
        <f>SUM(B22:BQ22)</f>
        <v>-2.8202000000000001E-2</v>
      </c>
      <c r="BU22" s="168"/>
      <c r="BV22" s="51"/>
      <c r="BW22" s="293"/>
    </row>
    <row r="23" spans="1:75">
      <c r="A23" s="2"/>
      <c r="B23" s="21"/>
      <c r="C23" s="21"/>
      <c r="D23" s="21"/>
      <c r="E23" s="21"/>
      <c r="F23" s="21"/>
      <c r="G23" s="21"/>
      <c r="H23" s="21"/>
      <c r="I23" s="21"/>
      <c r="J23" s="21"/>
      <c r="K23" s="164"/>
      <c r="L23" s="164"/>
      <c r="M23" s="164"/>
      <c r="N23" s="164"/>
      <c r="O23" s="164"/>
      <c r="P23" s="164"/>
      <c r="Q23" s="164"/>
      <c r="R23" s="164"/>
      <c r="S23" s="164"/>
      <c r="T23" s="164"/>
      <c r="U23" s="164"/>
      <c r="V23" s="164"/>
      <c r="W23" s="164"/>
      <c r="X23" s="164"/>
      <c r="Y23" s="164"/>
      <c r="Z23" s="164"/>
      <c r="AA23" s="164"/>
      <c r="AB23" s="164"/>
      <c r="AC23" s="164"/>
      <c r="AD23" s="164"/>
      <c r="AE23" s="164"/>
      <c r="AF23" s="164"/>
      <c r="AG23" s="164"/>
      <c r="AH23" s="164"/>
      <c r="AI23" s="164"/>
      <c r="AJ23" s="164"/>
      <c r="AK23" s="164"/>
      <c r="AL23" s="164"/>
      <c r="AM23" s="164"/>
      <c r="AN23" s="164"/>
      <c r="AO23" s="164"/>
      <c r="AP23" s="164"/>
      <c r="AQ23" s="164"/>
      <c r="AR23" s="164"/>
      <c r="AS23" s="164"/>
      <c r="AT23" s="164"/>
      <c r="AU23" s="164"/>
      <c r="AV23" s="164"/>
      <c r="AW23" s="164"/>
      <c r="AX23" s="164"/>
      <c r="AY23" s="164"/>
      <c r="AZ23" s="164"/>
      <c r="BA23" s="164"/>
      <c r="BB23" s="164"/>
      <c r="BC23" s="164"/>
      <c r="BD23" s="164"/>
      <c r="BE23" s="164"/>
      <c r="BF23" s="164"/>
      <c r="BG23" s="164"/>
      <c r="BH23" s="164"/>
      <c r="BI23" s="164"/>
      <c r="BJ23" s="164"/>
      <c r="BK23" s="164"/>
      <c r="BL23" s="164"/>
      <c r="BM23" s="164"/>
      <c r="BN23" s="164"/>
      <c r="BO23" s="164"/>
      <c r="BP23" s="164"/>
      <c r="BQ23" s="164"/>
      <c r="BR23" s="116"/>
      <c r="BU23" s="168"/>
      <c r="BV23" s="51"/>
      <c r="BW23" s="293"/>
    </row>
    <row r="24" spans="1:75">
      <c r="A24" s="2" t="s">
        <v>52</v>
      </c>
      <c r="B24" s="21">
        <v>0</v>
      </c>
      <c r="C24" s="21">
        <v>0</v>
      </c>
      <c r="D24" s="21">
        <v>0</v>
      </c>
      <c r="E24" s="212">
        <v>1.5193620000000001</v>
      </c>
      <c r="F24" s="212">
        <v>0.26986599999999999</v>
      </c>
      <c r="G24" s="212">
        <v>5.9598240000000002</v>
      </c>
      <c r="H24" s="212">
        <v>2.0610000000000004</v>
      </c>
      <c r="I24" s="212">
        <v>0.58499999999999996</v>
      </c>
      <c r="J24" s="212">
        <v>3.5438000000000001</v>
      </c>
      <c r="K24" s="213">
        <v>0.35203000000000001</v>
      </c>
      <c r="L24" s="164"/>
      <c r="M24" s="213">
        <f>3.086+82.242+0.511-0.195+2.651</f>
        <v>88.295000000000002</v>
      </c>
      <c r="N24" s="213">
        <v>8.4699999999999998E-2</v>
      </c>
      <c r="O24" s="213">
        <v>-0.22900000000000001</v>
      </c>
      <c r="P24" s="164">
        <f>0.788721-0.088721+0.04</f>
        <v>0.74</v>
      </c>
      <c r="Q24" s="164"/>
      <c r="R24" s="164"/>
      <c r="S24" s="164"/>
      <c r="T24" s="164"/>
      <c r="U24" s="164"/>
      <c r="V24" s="164"/>
      <c r="W24" s="164"/>
      <c r="X24" s="164">
        <f>0.041+0.462+1.466</f>
        <v>1.9689999999999999</v>
      </c>
      <c r="Y24" s="164"/>
      <c r="Z24" s="164">
        <v>0.10100000000000001</v>
      </c>
      <c r="AA24" s="164">
        <f>0.04-0.0145-0.212568-0.106965+0.0065+0.0914+0.04</f>
        <v>-0.15613299999999999</v>
      </c>
      <c r="AB24" s="164"/>
      <c r="AC24" s="164"/>
      <c r="AD24" s="164">
        <v>0.27975</v>
      </c>
      <c r="AE24" s="164"/>
      <c r="AF24" s="164">
        <v>1.028</v>
      </c>
      <c r="AG24" s="164">
        <v>0.495</v>
      </c>
      <c r="AH24" s="164"/>
      <c r="AI24" s="164"/>
      <c r="AJ24" s="164"/>
      <c r="AK24" s="164"/>
      <c r="AL24" s="164"/>
      <c r="AM24" s="164"/>
      <c r="AN24" s="164"/>
      <c r="AO24" s="164"/>
      <c r="AP24" s="164"/>
      <c r="AQ24" s="164">
        <v>0.1</v>
      </c>
      <c r="AR24" s="164">
        <v>2.4E-2</v>
      </c>
      <c r="AS24" s="164">
        <v>2.5000000000000001E-2</v>
      </c>
      <c r="AT24" s="164">
        <v>2.5000000000000001E-2</v>
      </c>
      <c r="AU24" s="164">
        <v>-85.403999999999996</v>
      </c>
      <c r="AV24" s="164">
        <v>1.0680000000000001</v>
      </c>
      <c r="AW24" s="164">
        <v>0.39820499999999998</v>
      </c>
      <c r="AX24" s="164">
        <f>-(0.99+0.37+0.018)</f>
        <v>-1.3779999999999999</v>
      </c>
      <c r="AY24" s="164">
        <v>0.22408400000000001</v>
      </c>
      <c r="AZ24" s="164">
        <v>1.0740000000000001</v>
      </c>
      <c r="BA24" s="164">
        <v>1.9339999999999999</v>
      </c>
      <c r="BB24" s="164">
        <v>0.02</v>
      </c>
      <c r="BC24" s="164">
        <v>0.3</v>
      </c>
      <c r="BD24" s="164">
        <v>7.1901000000000007E-2</v>
      </c>
      <c r="BE24" s="164"/>
      <c r="BF24" s="164">
        <v>7.8E-2</v>
      </c>
      <c r="BG24" s="164">
        <v>1.1439999999999999</v>
      </c>
      <c r="BH24" s="164">
        <v>0.79</v>
      </c>
      <c r="BI24" s="164"/>
      <c r="BJ24" s="164"/>
      <c r="BK24" s="164">
        <v>1.1000000000000001</v>
      </c>
      <c r="BL24" s="164">
        <v>2.9819999999999998E-3</v>
      </c>
      <c r="BM24" s="164">
        <v>4.8658E-2</v>
      </c>
      <c r="BN24" s="164">
        <v>0.27700000000000002</v>
      </c>
      <c r="BO24" s="164">
        <v>6.2920000000000004E-2</v>
      </c>
      <c r="BP24" s="164">
        <v>0.110064</v>
      </c>
      <c r="BQ24" s="164">
        <v>1.2170000000000001</v>
      </c>
      <c r="BR24" s="305">
        <f>SUM(B24:BQ24)</f>
        <v>30.211013000000019</v>
      </c>
      <c r="BU24" s="168"/>
      <c r="BV24" s="51"/>
      <c r="BW24" s="293"/>
    </row>
    <row r="25" spans="1:75">
      <c r="A25" s="2"/>
      <c r="B25" s="21"/>
      <c r="C25" s="21"/>
      <c r="D25" s="21"/>
      <c r="E25" s="21"/>
      <c r="F25" s="21"/>
      <c r="G25" s="21"/>
      <c r="H25" s="21"/>
      <c r="I25" s="21"/>
      <c r="J25" s="21"/>
      <c r="K25" s="164"/>
      <c r="L25" s="164"/>
      <c r="M25" s="164"/>
      <c r="N25" s="164"/>
      <c r="O25" s="164"/>
      <c r="P25" s="164"/>
      <c r="Q25" s="164"/>
      <c r="R25" s="164"/>
      <c r="S25" s="164"/>
      <c r="T25" s="164"/>
      <c r="U25" s="164"/>
      <c r="V25" s="164"/>
      <c r="W25" s="164"/>
      <c r="X25" s="164"/>
      <c r="Y25" s="164"/>
      <c r="Z25" s="164"/>
      <c r="AA25" s="164"/>
      <c r="AB25" s="164"/>
      <c r="AC25" s="164"/>
      <c r="AD25" s="164"/>
      <c r="AE25" s="164"/>
      <c r="AF25" s="164"/>
      <c r="AG25" s="164"/>
      <c r="AH25" s="164"/>
      <c r="AI25" s="164"/>
      <c r="AJ25" s="164"/>
      <c r="AK25" s="164"/>
      <c r="AL25" s="164"/>
      <c r="AM25" s="164"/>
      <c r="AN25" s="164"/>
      <c r="AO25" s="164"/>
      <c r="AP25" s="164"/>
      <c r="AQ25" s="164"/>
      <c r="AR25" s="164"/>
      <c r="AS25" s="164"/>
      <c r="AT25" s="164"/>
      <c r="AU25" s="164"/>
      <c r="AV25" s="164"/>
      <c r="AW25" s="164"/>
      <c r="AX25" s="164"/>
      <c r="AY25" s="164"/>
      <c r="AZ25" s="164"/>
      <c r="BA25" s="164"/>
      <c r="BB25" s="164"/>
      <c r="BC25" s="164"/>
      <c r="BD25" s="164"/>
      <c r="BE25" s="164"/>
      <c r="BF25" s="164"/>
      <c r="BG25" s="164"/>
      <c r="BH25" s="164"/>
      <c r="BI25" s="164"/>
      <c r="BJ25" s="164"/>
      <c r="BK25" s="164"/>
      <c r="BL25" s="164"/>
      <c r="BM25" s="164"/>
      <c r="BN25" s="164"/>
      <c r="BO25" s="164"/>
      <c r="BP25" s="164"/>
      <c r="BQ25" s="164"/>
      <c r="BR25" s="116"/>
      <c r="BU25" s="168"/>
      <c r="BV25" s="51"/>
      <c r="BW25" s="293"/>
    </row>
    <row r="26" spans="1:75">
      <c r="A26" s="2" t="s">
        <v>127</v>
      </c>
      <c r="B26" s="232">
        <f t="shared" ref="B26:AG26" si="5">B20+B8+B10+B12+B14+B16+B18+B22+B24</f>
        <v>1.6691220000000002</v>
      </c>
      <c r="C26" s="232">
        <f t="shared" si="5"/>
        <v>7.9883069999999989</v>
      </c>
      <c r="D26" s="232">
        <f t="shared" si="5"/>
        <v>8.1415259999999989</v>
      </c>
      <c r="E26" s="232">
        <f t="shared" si="5"/>
        <v>5.4023450000000004</v>
      </c>
      <c r="F26" s="232">
        <f t="shared" si="5"/>
        <v>8.8778389999999998</v>
      </c>
      <c r="G26" s="232">
        <f t="shared" si="5"/>
        <v>5.9598240000000002</v>
      </c>
      <c r="H26" s="232">
        <f t="shared" si="5"/>
        <v>2.0610000000000004</v>
      </c>
      <c r="I26" s="232">
        <f t="shared" si="5"/>
        <v>0.58499999999999996</v>
      </c>
      <c r="J26" s="232">
        <f t="shared" si="5"/>
        <v>3.5438000000000001</v>
      </c>
      <c r="K26" s="232">
        <f t="shared" si="5"/>
        <v>0.35203000000000001</v>
      </c>
      <c r="L26" s="232">
        <f t="shared" si="5"/>
        <v>-0.15880900000000001</v>
      </c>
      <c r="M26" s="232">
        <f t="shared" si="5"/>
        <v>88.295000000000002</v>
      </c>
      <c r="N26" s="232">
        <f t="shared" si="5"/>
        <v>8.4699999999999998E-2</v>
      </c>
      <c r="O26" s="232">
        <f t="shared" si="5"/>
        <v>-0.22900000000000001</v>
      </c>
      <c r="P26" s="232">
        <f t="shared" si="5"/>
        <v>0.74</v>
      </c>
      <c r="Q26" s="232">
        <f t="shared" si="5"/>
        <v>7.3380000000000001E-2</v>
      </c>
      <c r="R26" s="232">
        <f t="shared" si="5"/>
        <v>4.9000000000000002E-2</v>
      </c>
      <c r="S26" s="232">
        <f t="shared" si="5"/>
        <v>6.3600000000000004E-2</v>
      </c>
      <c r="T26" s="232">
        <f t="shared" si="5"/>
        <v>0.28489999999999999</v>
      </c>
      <c r="U26" s="232">
        <f t="shared" si="5"/>
        <v>4.9038999999999999E-2</v>
      </c>
      <c r="V26" s="232">
        <f t="shared" si="5"/>
        <v>7.0000000000000007E-2</v>
      </c>
      <c r="W26" s="232">
        <f t="shared" si="5"/>
        <v>-6.3812999999999995E-2</v>
      </c>
      <c r="X26" s="232">
        <f t="shared" si="5"/>
        <v>1.9689999999999999</v>
      </c>
      <c r="Y26" s="232">
        <f t="shared" si="5"/>
        <v>0.10194900000000001</v>
      </c>
      <c r="Z26" s="232">
        <f t="shared" si="5"/>
        <v>0.10100000000000001</v>
      </c>
      <c r="AA26" s="232">
        <f t="shared" si="5"/>
        <v>-0.15613299999999999</v>
      </c>
      <c r="AB26" s="232">
        <f t="shared" si="5"/>
        <v>0.126</v>
      </c>
      <c r="AC26" s="232">
        <f t="shared" si="5"/>
        <v>0.52200000000000002</v>
      </c>
      <c r="AD26" s="232">
        <f t="shared" si="5"/>
        <v>0.27975</v>
      </c>
      <c r="AE26" s="232">
        <f t="shared" si="5"/>
        <v>3.1E-2</v>
      </c>
      <c r="AF26" s="232">
        <f t="shared" si="5"/>
        <v>1.028</v>
      </c>
      <c r="AG26" s="232">
        <f t="shared" si="5"/>
        <v>0.495</v>
      </c>
      <c r="AH26" s="232">
        <f t="shared" ref="AH26:BQ26" si="6">AH20+AH8+AH10+AH12+AH14+AH16+AH18+AH22+AH24</f>
        <v>-2.0611999999999998E-2</v>
      </c>
      <c r="AI26" s="232">
        <f t="shared" si="6"/>
        <v>-1.3965999999999999E-2</v>
      </c>
      <c r="AJ26" s="232">
        <f t="shared" si="6"/>
        <v>7.9905000000000004E-2</v>
      </c>
      <c r="AK26" s="232">
        <f t="shared" si="6"/>
        <v>4.4448000000000001E-2</v>
      </c>
      <c r="AL26" s="232">
        <f t="shared" si="6"/>
        <v>2.4303000000000002E-2</v>
      </c>
      <c r="AM26" s="232">
        <f t="shared" si="6"/>
        <v>6.1020999999999999E-2</v>
      </c>
      <c r="AN26" s="232">
        <f t="shared" si="6"/>
        <v>1.2152E-2</v>
      </c>
      <c r="AO26" s="232">
        <f t="shared" si="6"/>
        <v>1.4914E-2</v>
      </c>
      <c r="AP26" s="232">
        <f t="shared" si="6"/>
        <v>8.5500000000000007E-2</v>
      </c>
      <c r="AQ26" s="232">
        <f t="shared" si="6"/>
        <v>0.1</v>
      </c>
      <c r="AR26" s="232">
        <f t="shared" si="6"/>
        <v>2.4E-2</v>
      </c>
      <c r="AS26" s="232">
        <f t="shared" si="6"/>
        <v>2.5000000000000001E-2</v>
      </c>
      <c r="AT26" s="232">
        <f t="shared" si="6"/>
        <v>2.5000000000000001E-2</v>
      </c>
      <c r="AU26" s="232">
        <f t="shared" si="6"/>
        <v>-85.403999999999996</v>
      </c>
      <c r="AV26" s="232">
        <f t="shared" si="6"/>
        <v>1.0680000000000001</v>
      </c>
      <c r="AW26" s="232">
        <f t="shared" si="6"/>
        <v>0.39820499999999998</v>
      </c>
      <c r="AX26" s="232">
        <f t="shared" si="6"/>
        <v>-1.3779999999999999</v>
      </c>
      <c r="AY26" s="232">
        <f t="shared" si="6"/>
        <v>0.22408400000000001</v>
      </c>
      <c r="AZ26" s="232">
        <f t="shared" si="6"/>
        <v>1.0740000000000001</v>
      </c>
      <c r="BA26" s="232">
        <f t="shared" si="6"/>
        <v>1.9339999999999999</v>
      </c>
      <c r="BB26" s="232">
        <f t="shared" si="6"/>
        <v>0.02</v>
      </c>
      <c r="BC26" s="232">
        <f t="shared" si="6"/>
        <v>0.3</v>
      </c>
      <c r="BD26" s="232">
        <f t="shared" si="6"/>
        <v>7.1901000000000007E-2</v>
      </c>
      <c r="BE26" s="232">
        <f t="shared" si="6"/>
        <v>1.0586999999999999E-2</v>
      </c>
      <c r="BF26" s="232">
        <f t="shared" si="6"/>
        <v>7.8E-2</v>
      </c>
      <c r="BG26" s="232">
        <f t="shared" si="6"/>
        <v>1.1439999999999999</v>
      </c>
      <c r="BH26" s="232">
        <f t="shared" si="6"/>
        <v>0.79</v>
      </c>
      <c r="BI26" s="232">
        <f t="shared" si="6"/>
        <v>3.6667999999999999E-2</v>
      </c>
      <c r="BJ26" s="232">
        <f t="shared" si="6"/>
        <v>7.6886999999999997E-2</v>
      </c>
      <c r="BK26" s="232">
        <f t="shared" si="6"/>
        <v>1.1000000000000001</v>
      </c>
      <c r="BL26" s="232">
        <f t="shared" si="6"/>
        <v>2.9819999999999998E-3</v>
      </c>
      <c r="BM26" s="232">
        <f t="shared" si="6"/>
        <v>4.8658E-2</v>
      </c>
      <c r="BN26" s="232">
        <f t="shared" si="6"/>
        <v>0.27700000000000002</v>
      </c>
      <c r="BO26" s="232">
        <f t="shared" si="6"/>
        <v>6.2920000000000004E-2</v>
      </c>
      <c r="BP26" s="232">
        <f t="shared" si="6"/>
        <v>0.110064</v>
      </c>
      <c r="BQ26" s="232">
        <f t="shared" si="6"/>
        <v>1.2170000000000001</v>
      </c>
      <c r="BR26" s="297">
        <f>SUM(B26:BQ26)</f>
        <v>62.060976999999916</v>
      </c>
      <c r="BU26" s="168"/>
      <c r="BV26" s="51"/>
      <c r="BW26" s="293"/>
    </row>
    <row r="27" spans="1:75">
      <c r="A27" s="2"/>
      <c r="B27" s="21"/>
      <c r="C27" s="21"/>
      <c r="D27" s="21"/>
      <c r="E27" s="21"/>
      <c r="F27" s="21"/>
      <c r="G27" s="21"/>
      <c r="H27" s="21"/>
      <c r="I27" s="21"/>
      <c r="J27" s="21"/>
      <c r="K27" s="164"/>
      <c r="L27" s="164"/>
      <c r="M27" s="164"/>
      <c r="N27" s="164"/>
      <c r="O27" s="164"/>
      <c r="P27" s="164"/>
      <c r="Q27" s="164"/>
      <c r="R27" s="164"/>
      <c r="S27" s="164"/>
      <c r="T27" s="164"/>
      <c r="U27" s="164"/>
      <c r="V27" s="164"/>
      <c r="W27" s="164"/>
      <c r="X27" s="164"/>
      <c r="Y27" s="164"/>
      <c r="Z27" s="164"/>
      <c r="AA27" s="164"/>
      <c r="AB27" s="164"/>
      <c r="AC27" s="164"/>
      <c r="AD27" s="164"/>
      <c r="AE27" s="164"/>
      <c r="AF27" s="164"/>
      <c r="AG27" s="164"/>
      <c r="AH27" s="164"/>
      <c r="AI27" s="164"/>
      <c r="AJ27" s="164"/>
      <c r="AK27" s="164"/>
      <c r="AL27" s="164"/>
      <c r="AM27" s="164"/>
      <c r="AN27" s="164"/>
      <c r="AO27" s="164"/>
      <c r="AP27" s="164"/>
      <c r="AQ27" s="164"/>
      <c r="AR27" s="164"/>
      <c r="AS27" s="164"/>
      <c r="AT27" s="164"/>
      <c r="AU27" s="164"/>
      <c r="AV27" s="164"/>
      <c r="AW27" s="164"/>
      <c r="AX27" s="164"/>
      <c r="AY27" s="164"/>
      <c r="AZ27" s="164"/>
      <c r="BA27" s="164"/>
      <c r="BB27" s="164"/>
      <c r="BC27" s="164"/>
      <c r="BD27" s="164"/>
      <c r="BE27" s="164"/>
      <c r="BF27" s="164"/>
      <c r="BG27" s="164"/>
      <c r="BH27" s="164"/>
      <c r="BI27" s="164"/>
      <c r="BJ27" s="164"/>
      <c r="BK27" s="164"/>
      <c r="BL27" s="164"/>
      <c r="BM27" s="164"/>
      <c r="BN27" s="164"/>
      <c r="BO27" s="164"/>
      <c r="BP27" s="164"/>
      <c r="BQ27" s="164"/>
      <c r="BR27" s="116"/>
      <c r="BU27" s="168"/>
      <c r="BV27" s="51"/>
      <c r="BW27" s="293"/>
    </row>
    <row r="28" spans="1:75">
      <c r="A28" s="2"/>
      <c r="B28" s="21"/>
      <c r="C28" s="21"/>
      <c r="D28" s="21"/>
      <c r="E28" s="21"/>
      <c r="F28" s="21"/>
      <c r="G28" s="21"/>
      <c r="H28" s="21"/>
      <c r="I28" s="21"/>
      <c r="J28" s="21"/>
      <c r="K28" s="164"/>
      <c r="L28" s="164"/>
      <c r="M28" s="164"/>
      <c r="N28" s="164"/>
      <c r="O28" s="164"/>
      <c r="P28" s="164"/>
      <c r="Q28" s="164"/>
      <c r="R28" s="164"/>
      <c r="S28" s="164"/>
      <c r="T28" s="164"/>
      <c r="U28" s="164"/>
      <c r="V28" s="164"/>
      <c r="W28" s="164"/>
      <c r="X28" s="164"/>
      <c r="Y28" s="164"/>
      <c r="Z28" s="164"/>
      <c r="AA28" s="164"/>
      <c r="AB28" s="164"/>
      <c r="AC28" s="164"/>
      <c r="AD28" s="164"/>
      <c r="AE28" s="164"/>
      <c r="AF28" s="164"/>
      <c r="AG28" s="164"/>
      <c r="AH28" s="164"/>
      <c r="AI28" s="164"/>
      <c r="AJ28" s="164"/>
      <c r="AK28" s="164"/>
      <c r="AL28" s="164"/>
      <c r="AM28" s="164"/>
      <c r="AN28" s="164"/>
      <c r="AO28" s="164"/>
      <c r="AP28" s="164"/>
      <c r="AQ28" s="164"/>
      <c r="AR28" s="164"/>
      <c r="AS28" s="164"/>
      <c r="AT28" s="164"/>
      <c r="AU28" s="164"/>
      <c r="AV28" s="164"/>
      <c r="AW28" s="164"/>
      <c r="AX28" s="164"/>
      <c r="AY28" s="164"/>
      <c r="AZ28" s="164"/>
      <c r="BA28" s="164"/>
      <c r="BB28" s="164"/>
      <c r="BC28" s="164"/>
      <c r="BD28" s="164"/>
      <c r="BE28" s="164"/>
      <c r="BF28" s="164"/>
      <c r="BG28" s="164"/>
      <c r="BH28" s="164"/>
      <c r="BI28" s="164"/>
      <c r="BJ28" s="164"/>
      <c r="BK28" s="164"/>
      <c r="BL28" s="164"/>
      <c r="BM28" s="164"/>
      <c r="BN28" s="164"/>
      <c r="BO28" s="164"/>
      <c r="BP28" s="164"/>
      <c r="BQ28" s="164"/>
      <c r="BR28" s="116"/>
      <c r="BU28" s="168"/>
      <c r="BV28" s="51"/>
      <c r="BW28" s="293"/>
    </row>
    <row r="29" spans="1:75">
      <c r="A29" s="2" t="s">
        <v>47</v>
      </c>
      <c r="B29" s="21">
        <v>7.3369000000000004E-2</v>
      </c>
      <c r="C29" s="21">
        <v>0.47622199999999998</v>
      </c>
      <c r="D29" s="21">
        <v>0</v>
      </c>
      <c r="E29" s="21">
        <v>4.4997000000000002E-2</v>
      </c>
      <c r="F29" s="21">
        <v>0</v>
      </c>
      <c r="G29" s="21">
        <v>0</v>
      </c>
      <c r="H29" s="21">
        <v>0</v>
      </c>
      <c r="I29" s="21"/>
      <c r="J29" s="21">
        <v>0</v>
      </c>
      <c r="K29" s="164"/>
      <c r="L29" s="164"/>
      <c r="M29" s="164"/>
      <c r="N29" s="164"/>
      <c r="O29" s="164"/>
      <c r="P29" s="164"/>
      <c r="Q29" s="164"/>
      <c r="R29" s="164">
        <v>7.0000000000000001E-3</v>
      </c>
      <c r="S29" s="164">
        <v>2.7000000000000001E-3</v>
      </c>
      <c r="T29" s="164">
        <v>7.7000000000000002E-3</v>
      </c>
      <c r="U29" s="164"/>
      <c r="V29" s="164">
        <v>0.01</v>
      </c>
      <c r="W29" s="164"/>
      <c r="X29" s="164"/>
      <c r="Y29" s="164"/>
      <c r="Z29" s="164"/>
      <c r="AA29" s="164"/>
      <c r="AB29" s="164">
        <v>1.7999999999999999E-2</v>
      </c>
      <c r="AC29" s="164"/>
      <c r="AD29" s="164"/>
      <c r="AE29" s="164"/>
      <c r="AF29" s="164"/>
      <c r="AG29" s="164"/>
      <c r="AH29" s="164"/>
      <c r="AI29" s="164"/>
      <c r="AJ29" s="164"/>
      <c r="AK29" s="164"/>
      <c r="AL29" s="164"/>
      <c r="AM29" s="164"/>
      <c r="AN29" s="164"/>
      <c r="AO29" s="164"/>
      <c r="AP29" s="164"/>
      <c r="AQ29" s="164"/>
      <c r="AR29" s="164"/>
      <c r="AS29" s="164"/>
      <c r="AT29" s="164"/>
      <c r="AU29" s="164"/>
      <c r="AV29" s="164"/>
      <c r="AW29" s="164"/>
      <c r="AX29" s="164"/>
      <c r="AY29" s="164"/>
      <c r="AZ29" s="164"/>
      <c r="BA29" s="164"/>
      <c r="BB29" s="164"/>
      <c r="BC29" s="164"/>
      <c r="BD29" s="164"/>
      <c r="BE29" s="164"/>
      <c r="BF29" s="164"/>
      <c r="BG29" s="164"/>
      <c r="BH29" s="164"/>
      <c r="BI29" s="164"/>
      <c r="BJ29" s="164"/>
      <c r="BK29" s="164"/>
      <c r="BL29" s="164"/>
      <c r="BM29" s="164"/>
      <c r="BN29" s="164"/>
      <c r="BO29" s="164"/>
      <c r="BP29" s="164"/>
      <c r="BQ29" s="164"/>
      <c r="BR29" s="231">
        <f>SUM(B29:BQ29)</f>
        <v>0.639988</v>
      </c>
      <c r="BU29" s="168"/>
      <c r="BV29" s="51"/>
      <c r="BW29" s="293"/>
    </row>
    <row r="30" spans="1:75">
      <c r="A30" s="2"/>
      <c r="B30" s="21"/>
      <c r="C30" s="21"/>
      <c r="D30" s="21"/>
      <c r="E30" s="21"/>
      <c r="F30" s="21"/>
      <c r="G30" s="21"/>
      <c r="H30" s="21"/>
      <c r="I30" s="21"/>
      <c r="J30" s="21"/>
      <c r="K30" s="164"/>
      <c r="L30" s="164"/>
      <c r="M30" s="164"/>
      <c r="N30" s="164"/>
      <c r="O30" s="164"/>
      <c r="P30" s="164"/>
      <c r="Q30" s="164"/>
      <c r="R30" s="164"/>
      <c r="S30" s="164"/>
      <c r="T30" s="164"/>
      <c r="U30" s="164"/>
      <c r="V30" s="164"/>
      <c r="W30" s="164"/>
      <c r="X30" s="164"/>
      <c r="Y30" s="164"/>
      <c r="Z30" s="164"/>
      <c r="AA30" s="164"/>
      <c r="AB30" s="164"/>
      <c r="AC30" s="164"/>
      <c r="AD30" s="164"/>
      <c r="AE30" s="164"/>
      <c r="AF30" s="164"/>
      <c r="AG30" s="164"/>
      <c r="AH30" s="164"/>
      <c r="AI30" s="164"/>
      <c r="AJ30" s="164"/>
      <c r="AK30" s="164"/>
      <c r="AL30" s="164"/>
      <c r="AM30" s="164"/>
      <c r="AN30" s="164"/>
      <c r="AO30" s="164"/>
      <c r="AP30" s="164"/>
      <c r="AQ30" s="164"/>
      <c r="AR30" s="164"/>
      <c r="AS30" s="164"/>
      <c r="AT30" s="164"/>
      <c r="AU30" s="164"/>
      <c r="AV30" s="164"/>
      <c r="AW30" s="164"/>
      <c r="AX30" s="164"/>
      <c r="AY30" s="164"/>
      <c r="AZ30" s="164"/>
      <c r="BA30" s="164"/>
      <c r="BB30" s="164"/>
      <c r="BC30" s="164"/>
      <c r="BD30" s="164"/>
      <c r="BE30" s="164"/>
      <c r="BF30" s="164"/>
      <c r="BG30" s="164"/>
      <c r="BH30" s="164"/>
      <c r="BI30" s="164"/>
      <c r="BJ30" s="164"/>
      <c r="BK30" s="164"/>
      <c r="BL30" s="164"/>
      <c r="BM30" s="164"/>
      <c r="BN30" s="164"/>
      <c r="BO30" s="164"/>
      <c r="BP30" s="164"/>
      <c r="BQ30" s="164"/>
      <c r="BR30" s="116"/>
      <c r="BU30" s="168"/>
      <c r="BV30" s="51"/>
      <c r="BW30" s="293"/>
    </row>
    <row r="31" spans="1:75">
      <c r="A31" s="2" t="s">
        <v>48</v>
      </c>
      <c r="B31" s="21">
        <v>4.7E-2</v>
      </c>
      <c r="C31" s="21">
        <f>0.186864-0.035297</f>
        <v>0.15156700000000001</v>
      </c>
      <c r="D31" s="21">
        <f>0.477819-0.242831</f>
        <v>0.234988</v>
      </c>
      <c r="E31" s="21">
        <v>0.105527</v>
      </c>
      <c r="F31" s="21">
        <v>0</v>
      </c>
      <c r="G31" s="21">
        <v>0</v>
      </c>
      <c r="H31" s="21">
        <v>0</v>
      </c>
      <c r="I31" s="21"/>
      <c r="J31" s="21">
        <v>0</v>
      </c>
      <c r="K31" s="164"/>
      <c r="L31" s="164"/>
      <c r="M31" s="164"/>
      <c r="N31" s="164"/>
      <c r="O31" s="164"/>
      <c r="P31" s="213">
        <f>0.088721</f>
        <v>8.8720999999999994E-2</v>
      </c>
      <c r="Q31" s="164"/>
      <c r="R31" s="164">
        <v>7.0000000000000001E-3</v>
      </c>
      <c r="S31" s="164">
        <v>2.5000000000000001E-3</v>
      </c>
      <c r="T31" s="164">
        <v>7.7000000000000002E-3</v>
      </c>
      <c r="U31" s="164">
        <v>1.9610000000000001E-3</v>
      </c>
      <c r="V31" s="164">
        <v>0.01</v>
      </c>
      <c r="W31" s="164">
        <v>-8.8720999999999994E-2</v>
      </c>
      <c r="X31" s="164"/>
      <c r="Y31" s="164"/>
      <c r="Z31" s="164"/>
      <c r="AA31" s="164"/>
      <c r="AB31" s="164">
        <v>1.7999999999999999E-2</v>
      </c>
      <c r="AC31" s="164"/>
      <c r="AD31" s="164"/>
      <c r="AE31" s="164"/>
      <c r="AF31" s="164"/>
      <c r="AG31" s="164"/>
      <c r="AH31" s="164"/>
      <c r="AI31" s="164"/>
      <c r="AJ31" s="164"/>
      <c r="AK31" s="164"/>
      <c r="AL31" s="164"/>
      <c r="AM31" s="164"/>
      <c r="AN31" s="164"/>
      <c r="AO31" s="164"/>
      <c r="AP31" s="164"/>
      <c r="AQ31" s="164"/>
      <c r="AR31" s="164"/>
      <c r="AS31" s="164"/>
      <c r="AT31" s="164"/>
      <c r="AU31" s="164"/>
      <c r="AV31" s="164"/>
      <c r="AW31" s="164"/>
      <c r="AX31" s="164"/>
      <c r="AY31" s="164"/>
      <c r="AZ31" s="164"/>
      <c r="BA31" s="164"/>
      <c r="BB31" s="164"/>
      <c r="BC31" s="164"/>
      <c r="BD31" s="164"/>
      <c r="BE31" s="164"/>
      <c r="BF31" s="164"/>
      <c r="BG31" s="164"/>
      <c r="BH31" s="164"/>
      <c r="BI31" s="164"/>
      <c r="BJ31" s="164"/>
      <c r="BK31" s="164"/>
      <c r="BL31" s="164"/>
      <c r="BM31" s="164"/>
      <c r="BN31" s="164"/>
      <c r="BO31" s="164"/>
      <c r="BP31" s="164"/>
      <c r="BQ31" s="164"/>
      <c r="BR31" s="231">
        <f>SUM(B31:BQ31)</f>
        <v>0.58624300000000007</v>
      </c>
      <c r="BU31" s="168"/>
      <c r="BV31" s="51"/>
      <c r="BW31" s="293"/>
    </row>
    <row r="32" spans="1:75">
      <c r="A32" s="2"/>
      <c r="B32" s="21"/>
      <c r="C32" s="21"/>
      <c r="D32" s="21"/>
      <c r="E32" s="21"/>
      <c r="F32" s="21"/>
      <c r="G32" s="21"/>
      <c r="H32" s="21"/>
      <c r="I32" s="21"/>
      <c r="J32" s="21"/>
      <c r="K32" s="164"/>
      <c r="L32" s="164"/>
      <c r="M32" s="164"/>
      <c r="N32" s="164"/>
      <c r="O32" s="164"/>
      <c r="P32" s="164"/>
      <c r="Q32" s="164"/>
      <c r="R32" s="164"/>
      <c r="S32" s="164"/>
      <c r="T32" s="164"/>
      <c r="U32" s="164"/>
      <c r="V32" s="164"/>
      <c r="W32" s="164"/>
      <c r="X32" s="164"/>
      <c r="Y32" s="164"/>
      <c r="Z32" s="164"/>
      <c r="AA32" s="164"/>
      <c r="AB32" s="164"/>
      <c r="AC32" s="164"/>
      <c r="AD32" s="164"/>
      <c r="AE32" s="164"/>
      <c r="AF32" s="164"/>
      <c r="AG32" s="164"/>
      <c r="AH32" s="164"/>
      <c r="AI32" s="164"/>
      <c r="AJ32" s="164"/>
      <c r="AK32" s="164"/>
      <c r="AL32" s="164"/>
      <c r="AM32" s="164"/>
      <c r="AN32" s="164"/>
      <c r="AO32" s="164"/>
      <c r="AP32" s="164"/>
      <c r="AQ32" s="164"/>
      <c r="AR32" s="164"/>
      <c r="AS32" s="164"/>
      <c r="AT32" s="164"/>
      <c r="AU32" s="164"/>
      <c r="AV32" s="164"/>
      <c r="AW32" s="164"/>
      <c r="AX32" s="164"/>
      <c r="AY32" s="164"/>
      <c r="AZ32" s="164"/>
      <c r="BA32" s="164"/>
      <c r="BB32" s="164"/>
      <c r="BC32" s="164"/>
      <c r="BD32" s="164"/>
      <c r="BE32" s="164"/>
      <c r="BF32" s="164"/>
      <c r="BG32" s="164"/>
      <c r="BH32" s="164"/>
      <c r="BI32" s="164"/>
      <c r="BJ32" s="164"/>
      <c r="BK32" s="164"/>
      <c r="BL32" s="164"/>
      <c r="BM32" s="164"/>
      <c r="BN32" s="164"/>
      <c r="BO32" s="164"/>
      <c r="BP32" s="164"/>
      <c r="BQ32" s="164"/>
      <c r="BR32" s="116"/>
      <c r="BU32" s="168"/>
      <c r="BV32" s="51"/>
      <c r="BW32" s="293"/>
    </row>
    <row r="33" spans="1:75">
      <c r="A33" s="2" t="s">
        <v>49</v>
      </c>
      <c r="B33" s="21">
        <v>3.4250000000000003E-2</v>
      </c>
      <c r="C33" s="21">
        <f>0.079818+0.035297</f>
        <v>0.115115</v>
      </c>
      <c r="D33" s="21">
        <f>0.242831</f>
        <v>0.24283099999999999</v>
      </c>
      <c r="E33" s="21">
        <v>0</v>
      </c>
      <c r="F33" s="21">
        <v>0</v>
      </c>
      <c r="G33" s="21">
        <v>0</v>
      </c>
      <c r="H33" s="21">
        <v>0</v>
      </c>
      <c r="I33" s="21"/>
      <c r="J33" s="21">
        <v>0</v>
      </c>
      <c r="K33" s="164"/>
      <c r="L33" s="164"/>
      <c r="M33" s="164"/>
      <c r="N33" s="164"/>
      <c r="O33" s="164"/>
      <c r="P33" s="164"/>
      <c r="Q33" s="164"/>
      <c r="R33" s="164">
        <v>7.0000000000000001E-3</v>
      </c>
      <c r="S33" s="164">
        <v>1.1999999999999999E-3</v>
      </c>
      <c r="T33" s="164">
        <v>7.7000000000000002E-3</v>
      </c>
      <c r="U33" s="164"/>
      <c r="V33" s="164">
        <v>0.01</v>
      </c>
      <c r="W33" s="164"/>
      <c r="X33" s="164"/>
      <c r="Y33" s="164"/>
      <c r="Z33" s="164"/>
      <c r="AA33" s="164"/>
      <c r="AB33" s="164">
        <v>1.7999999999999999E-2</v>
      </c>
      <c r="AC33" s="164"/>
      <c r="AD33" s="164"/>
      <c r="AE33" s="164"/>
      <c r="AF33" s="164"/>
      <c r="AG33" s="164"/>
      <c r="AH33" s="164"/>
      <c r="AI33" s="164"/>
      <c r="AJ33" s="164"/>
      <c r="AK33" s="164"/>
      <c r="AL33" s="164"/>
      <c r="AM33" s="164"/>
      <c r="AN33" s="164"/>
      <c r="AO33" s="164"/>
      <c r="AP33" s="164"/>
      <c r="AQ33" s="164"/>
      <c r="AR33" s="164"/>
      <c r="AS33" s="164"/>
      <c r="AT33" s="164"/>
      <c r="AU33" s="164"/>
      <c r="AV33" s="164"/>
      <c r="AW33" s="164"/>
      <c r="AX33" s="164"/>
      <c r="AY33" s="164"/>
      <c r="AZ33" s="164"/>
      <c r="BA33" s="164"/>
      <c r="BB33" s="164"/>
      <c r="BC33" s="164"/>
      <c r="BD33" s="164"/>
      <c r="BE33" s="164"/>
      <c r="BF33" s="164"/>
      <c r="BG33" s="164"/>
      <c r="BH33" s="164"/>
      <c r="BI33" s="164"/>
      <c r="BJ33" s="164"/>
      <c r="BK33" s="164"/>
      <c r="BL33" s="164"/>
      <c r="BM33" s="164"/>
      <c r="BN33" s="164"/>
      <c r="BO33" s="164"/>
      <c r="BP33" s="164"/>
      <c r="BQ33" s="164"/>
      <c r="BR33" s="231">
        <f>SUM(B33:BQ33)</f>
        <v>0.43609599999999998</v>
      </c>
      <c r="BU33" s="168"/>
      <c r="BV33" s="51"/>
      <c r="BW33" s="293"/>
    </row>
    <row r="34" spans="1:75">
      <c r="A34" s="2"/>
      <c r="B34" s="21"/>
      <c r="C34" s="21"/>
      <c r="D34" s="21"/>
      <c r="E34" s="21"/>
      <c r="F34" s="21"/>
      <c r="G34" s="21"/>
      <c r="H34" s="21"/>
      <c r="I34" s="21"/>
      <c r="J34" s="21"/>
      <c r="K34" s="164"/>
      <c r="L34" s="164"/>
      <c r="M34" s="164"/>
      <c r="N34" s="164"/>
      <c r="O34" s="164"/>
      <c r="P34" s="164"/>
      <c r="Q34" s="164"/>
      <c r="R34" s="164"/>
      <c r="S34" s="164"/>
      <c r="T34" s="164"/>
      <c r="U34" s="164"/>
      <c r="V34" s="164"/>
      <c r="W34" s="164"/>
      <c r="X34" s="164"/>
      <c r="Y34" s="164"/>
      <c r="Z34" s="164"/>
      <c r="AA34" s="164"/>
      <c r="AB34" s="164"/>
      <c r="AC34" s="164"/>
      <c r="AD34" s="164"/>
      <c r="AE34" s="164"/>
      <c r="AF34" s="164"/>
      <c r="AG34" s="164"/>
      <c r="AH34" s="164"/>
      <c r="AI34" s="164"/>
      <c r="AJ34" s="164"/>
      <c r="AK34" s="164"/>
      <c r="AL34" s="164"/>
      <c r="AM34" s="164"/>
      <c r="AN34" s="164"/>
      <c r="AO34" s="164"/>
      <c r="AP34" s="164"/>
      <c r="AQ34" s="164"/>
      <c r="AR34" s="164"/>
      <c r="AS34" s="164"/>
      <c r="AT34" s="164"/>
      <c r="AU34" s="164"/>
      <c r="AV34" s="164"/>
      <c r="AW34" s="164"/>
      <c r="AX34" s="164"/>
      <c r="AY34" s="164"/>
      <c r="AZ34" s="164"/>
      <c r="BA34" s="164"/>
      <c r="BB34" s="164"/>
      <c r="BC34" s="164"/>
      <c r="BD34" s="164"/>
      <c r="BE34" s="164"/>
      <c r="BF34" s="164"/>
      <c r="BG34" s="164"/>
      <c r="BH34" s="164"/>
      <c r="BI34" s="164"/>
      <c r="BJ34" s="164"/>
      <c r="BK34" s="164"/>
      <c r="BL34" s="164"/>
      <c r="BM34" s="164"/>
      <c r="BN34" s="164"/>
      <c r="BO34" s="164"/>
      <c r="BP34" s="164"/>
      <c r="BQ34" s="164"/>
      <c r="BR34" s="116"/>
      <c r="BU34" s="168"/>
      <c r="BV34" s="51"/>
      <c r="BW34" s="293"/>
    </row>
    <row r="35" spans="1:75" ht="16" thickBot="1">
      <c r="A35" s="1"/>
      <c r="B35" s="93"/>
      <c r="C35" s="93"/>
      <c r="D35" s="93"/>
      <c r="E35" s="93"/>
      <c r="F35" s="93"/>
      <c r="G35" s="93"/>
      <c r="H35" s="93"/>
      <c r="I35" s="93"/>
      <c r="J35" s="93"/>
      <c r="K35" s="167"/>
      <c r="L35" s="167"/>
      <c r="M35" s="167"/>
      <c r="N35" s="167"/>
      <c r="O35" s="167" t="s">
        <v>105</v>
      </c>
      <c r="P35" s="167"/>
      <c r="Q35" s="167"/>
      <c r="R35" s="167"/>
      <c r="S35" s="167"/>
      <c r="T35" s="167"/>
      <c r="U35" s="167"/>
      <c r="V35" s="167"/>
      <c r="W35" s="167"/>
      <c r="X35" s="167"/>
      <c r="Y35" s="167"/>
      <c r="Z35" s="167"/>
      <c r="AA35" s="167"/>
      <c r="AB35" s="167"/>
      <c r="AC35" s="167"/>
      <c r="AD35" s="167"/>
      <c r="AE35" s="167"/>
      <c r="AF35" s="268"/>
      <c r="AG35" s="268"/>
      <c r="AH35" s="268"/>
      <c r="AI35" s="268"/>
      <c r="AJ35" s="268"/>
      <c r="AK35" s="268"/>
      <c r="AL35" s="268"/>
      <c r="AM35" s="268"/>
      <c r="AN35" s="268"/>
      <c r="AO35" s="268"/>
      <c r="AP35" s="268"/>
      <c r="AQ35" s="268"/>
      <c r="AR35" s="268"/>
      <c r="AS35" s="268"/>
      <c r="AT35" s="268"/>
      <c r="AU35" s="268"/>
      <c r="AV35" s="268"/>
      <c r="AW35" s="268"/>
      <c r="AX35" s="268"/>
      <c r="AY35" s="268"/>
      <c r="AZ35" s="268"/>
      <c r="BA35" s="268"/>
      <c r="BB35" s="268"/>
      <c r="BC35" s="268"/>
      <c r="BD35" s="268"/>
      <c r="BE35" s="268"/>
      <c r="BF35" s="268"/>
      <c r="BG35" s="268"/>
      <c r="BH35" s="268"/>
      <c r="BI35" s="268"/>
      <c r="BJ35" s="268"/>
      <c r="BK35" s="268"/>
      <c r="BL35" s="268"/>
      <c r="BM35" s="268"/>
      <c r="BN35" s="268"/>
      <c r="BO35" s="268"/>
      <c r="BP35" s="268"/>
      <c r="BQ35" s="268"/>
      <c r="BR35" s="261"/>
      <c r="BU35" s="168"/>
      <c r="BV35" s="51"/>
      <c r="BW35" s="293"/>
    </row>
    <row r="36" spans="1:75" ht="16" thickBot="1">
      <c r="A36" s="19" t="s">
        <v>128</v>
      </c>
      <c r="B36" s="233">
        <f t="shared" ref="B36:BQ36" si="7">B26+B29+B31+B33</f>
        <v>1.8237410000000001</v>
      </c>
      <c r="C36" s="233">
        <f t="shared" si="7"/>
        <v>8.7312109999999983</v>
      </c>
      <c r="D36" s="233">
        <f t="shared" si="7"/>
        <v>8.6193449999999991</v>
      </c>
      <c r="E36" s="233">
        <f t="shared" si="7"/>
        <v>5.5528690000000012</v>
      </c>
      <c r="F36" s="233">
        <f t="shared" si="7"/>
        <v>8.8778389999999998</v>
      </c>
      <c r="G36" s="233">
        <f t="shared" si="7"/>
        <v>5.9598240000000002</v>
      </c>
      <c r="H36" s="233">
        <f t="shared" si="7"/>
        <v>2.0610000000000004</v>
      </c>
      <c r="I36" s="233">
        <f t="shared" si="7"/>
        <v>0.58499999999999996</v>
      </c>
      <c r="J36" s="233">
        <f t="shared" si="7"/>
        <v>3.5438000000000001</v>
      </c>
      <c r="K36" s="233">
        <f t="shared" si="7"/>
        <v>0.35203000000000001</v>
      </c>
      <c r="L36" s="233">
        <f t="shared" si="7"/>
        <v>-0.15880900000000001</v>
      </c>
      <c r="M36" s="233">
        <f t="shared" si="7"/>
        <v>88.295000000000002</v>
      </c>
      <c r="N36" s="233">
        <f t="shared" si="7"/>
        <v>8.4699999999999998E-2</v>
      </c>
      <c r="O36" s="233">
        <f t="shared" si="7"/>
        <v>-0.22900000000000001</v>
      </c>
      <c r="P36" s="233">
        <f t="shared" si="7"/>
        <v>0.82872100000000004</v>
      </c>
      <c r="Q36" s="233">
        <f t="shared" si="7"/>
        <v>7.3380000000000001E-2</v>
      </c>
      <c r="R36" s="233">
        <f t="shared" si="7"/>
        <v>7.0000000000000007E-2</v>
      </c>
      <c r="S36" s="233">
        <f t="shared" si="7"/>
        <v>7.0000000000000007E-2</v>
      </c>
      <c r="T36" s="233">
        <f t="shared" si="7"/>
        <v>0.30799999999999994</v>
      </c>
      <c r="U36" s="233">
        <f t="shared" si="7"/>
        <v>5.0999999999999997E-2</v>
      </c>
      <c r="V36" s="233">
        <f t="shared" si="7"/>
        <v>9.9999999999999992E-2</v>
      </c>
      <c r="W36" s="233">
        <f t="shared" si="7"/>
        <v>-0.152534</v>
      </c>
      <c r="X36" s="233">
        <f t="shared" si="7"/>
        <v>1.9689999999999999</v>
      </c>
      <c r="Y36" s="233">
        <f t="shared" si="7"/>
        <v>0.10194900000000001</v>
      </c>
      <c r="Z36" s="233">
        <f t="shared" si="7"/>
        <v>0.10100000000000001</v>
      </c>
      <c r="AA36" s="233">
        <f t="shared" si="7"/>
        <v>-0.15613299999999999</v>
      </c>
      <c r="AB36" s="233">
        <f t="shared" si="7"/>
        <v>0.17999999999999997</v>
      </c>
      <c r="AC36" s="233">
        <f t="shared" si="7"/>
        <v>0.52200000000000002</v>
      </c>
      <c r="AD36" s="233">
        <f t="shared" si="7"/>
        <v>0.27975</v>
      </c>
      <c r="AE36" s="233">
        <f t="shared" si="7"/>
        <v>3.1E-2</v>
      </c>
      <c r="AF36" s="233">
        <f t="shared" si="7"/>
        <v>1.028</v>
      </c>
      <c r="AG36" s="233">
        <f t="shared" si="7"/>
        <v>0.495</v>
      </c>
      <c r="AH36" s="233">
        <f t="shared" si="7"/>
        <v>-2.0611999999999998E-2</v>
      </c>
      <c r="AI36" s="233">
        <f t="shared" si="7"/>
        <v>-1.3965999999999999E-2</v>
      </c>
      <c r="AJ36" s="233">
        <f t="shared" si="7"/>
        <v>7.9905000000000004E-2</v>
      </c>
      <c r="AK36" s="233">
        <f t="shared" si="7"/>
        <v>4.4448000000000001E-2</v>
      </c>
      <c r="AL36" s="233">
        <f t="shared" si="7"/>
        <v>2.4303000000000002E-2</v>
      </c>
      <c r="AM36" s="233">
        <f t="shared" si="7"/>
        <v>6.1020999999999999E-2</v>
      </c>
      <c r="AN36" s="233">
        <f t="shared" si="7"/>
        <v>1.2152E-2</v>
      </c>
      <c r="AO36" s="233">
        <f t="shared" si="7"/>
        <v>1.4914E-2</v>
      </c>
      <c r="AP36" s="233">
        <f t="shared" si="7"/>
        <v>8.5500000000000007E-2</v>
      </c>
      <c r="AQ36" s="233">
        <f t="shared" si="7"/>
        <v>0.1</v>
      </c>
      <c r="AR36" s="233">
        <f t="shared" si="7"/>
        <v>2.4E-2</v>
      </c>
      <c r="AS36" s="233">
        <f t="shared" si="7"/>
        <v>2.5000000000000001E-2</v>
      </c>
      <c r="AT36" s="233">
        <f t="shared" si="7"/>
        <v>2.5000000000000001E-2</v>
      </c>
      <c r="AU36" s="233">
        <f t="shared" si="7"/>
        <v>-85.403999999999996</v>
      </c>
      <c r="AV36" s="233">
        <f t="shared" si="7"/>
        <v>1.0680000000000001</v>
      </c>
      <c r="AW36" s="233">
        <f t="shared" si="7"/>
        <v>0.39820499999999998</v>
      </c>
      <c r="AX36" s="233">
        <f t="shared" si="7"/>
        <v>-1.3779999999999999</v>
      </c>
      <c r="AY36" s="233">
        <f t="shared" si="7"/>
        <v>0.22408400000000001</v>
      </c>
      <c r="AZ36" s="233">
        <f t="shared" si="7"/>
        <v>1.0740000000000001</v>
      </c>
      <c r="BA36" s="233">
        <f t="shared" si="7"/>
        <v>1.9339999999999999</v>
      </c>
      <c r="BB36" s="295">
        <f t="shared" si="7"/>
        <v>0.02</v>
      </c>
      <c r="BC36" s="295">
        <f t="shared" si="7"/>
        <v>0.3</v>
      </c>
      <c r="BD36" s="295">
        <f t="shared" si="7"/>
        <v>7.1901000000000007E-2</v>
      </c>
      <c r="BE36" s="295">
        <f t="shared" si="7"/>
        <v>1.0586999999999999E-2</v>
      </c>
      <c r="BF36" s="295">
        <f t="shared" si="7"/>
        <v>7.8E-2</v>
      </c>
      <c r="BG36" s="295">
        <f t="shared" si="7"/>
        <v>1.1439999999999999</v>
      </c>
      <c r="BH36" s="295">
        <f t="shared" si="7"/>
        <v>0.79</v>
      </c>
      <c r="BI36" s="295">
        <f t="shared" si="7"/>
        <v>3.6667999999999999E-2</v>
      </c>
      <c r="BJ36" s="295">
        <f t="shared" si="7"/>
        <v>7.6886999999999997E-2</v>
      </c>
      <c r="BK36" s="295">
        <f t="shared" si="7"/>
        <v>1.1000000000000001</v>
      </c>
      <c r="BL36" s="295">
        <f t="shared" si="7"/>
        <v>2.9819999999999998E-3</v>
      </c>
      <c r="BM36" s="295">
        <f t="shared" si="7"/>
        <v>4.8658E-2</v>
      </c>
      <c r="BN36" s="295">
        <f t="shared" si="7"/>
        <v>0.27700000000000002</v>
      </c>
      <c r="BO36" s="295">
        <f t="shared" si="7"/>
        <v>6.2920000000000004E-2</v>
      </c>
      <c r="BP36" s="295">
        <f t="shared" si="7"/>
        <v>0.110064</v>
      </c>
      <c r="BQ36" s="295">
        <f t="shared" si="7"/>
        <v>1.2170000000000001</v>
      </c>
      <c r="BR36" s="296">
        <f>SUM(B36:BQ36)</f>
        <v>63.723303999999892</v>
      </c>
      <c r="BU36" s="234">
        <f>SUM(BU8:BU34)</f>
        <v>31.764610999999995</v>
      </c>
      <c r="BV36" s="51"/>
      <c r="BW36" s="294">
        <f>SUM(BW8:BW18)</f>
        <v>-0.11355499999999985</v>
      </c>
    </row>
    <row r="37" spans="1:75">
      <c r="B37" s="396"/>
      <c r="C37" s="483"/>
      <c r="D37" s="483"/>
    </row>
    <row r="38" spans="1:75">
      <c r="B38" s="396"/>
      <c r="C38" s="483"/>
      <c r="D38" s="483"/>
      <c r="E38" s="396"/>
      <c r="F38" s="397"/>
      <c r="G38" s="397"/>
      <c r="H38" s="397"/>
      <c r="I38" s="397"/>
      <c r="J38" s="397"/>
      <c r="K38" s="397"/>
      <c r="L38" s="397"/>
      <c r="M38" s="397"/>
      <c r="N38" s="397"/>
      <c r="O38" s="397"/>
    </row>
    <row r="40" spans="1:75">
      <c r="A40" s="28"/>
      <c r="BR40" s="249"/>
      <c r="BU40" s="249"/>
    </row>
  </sheetData>
  <pageMargins left="0.25" right="0.25" top="0.75" bottom="0.75" header="0.3" footer="0.3"/>
  <pageSetup paperSize="8" scale="75" orientation="landscape" r:id="rId1"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99"/>
    <pageSetUpPr fitToPage="1"/>
  </sheetPr>
  <dimension ref="A1:U92"/>
  <sheetViews>
    <sheetView zoomScaleNormal="100" workbookViewId="0">
      <selection activeCell="D12" sqref="D12"/>
    </sheetView>
  </sheetViews>
  <sheetFormatPr defaultColWidth="8.69140625" defaultRowHeight="15.5"/>
  <cols>
    <col min="1" max="1" width="35.84375" style="55" bestFit="1" customWidth="1"/>
    <col min="2" max="2" width="15.07421875" style="55" customWidth="1"/>
    <col min="3" max="3" width="11.4609375" style="55" customWidth="1"/>
    <col min="4" max="5" width="11.53515625" style="55" customWidth="1"/>
    <col min="6" max="6" width="11.4609375" style="55" customWidth="1"/>
    <col min="7" max="8" width="10.3828125" style="55" bestFit="1" customWidth="1"/>
    <col min="9" max="20" width="8.84375" style="55" bestFit="1" customWidth="1"/>
    <col min="21" max="21" width="9.15234375" style="55" bestFit="1" customWidth="1"/>
    <col min="22" max="16384" width="8.69140625" style="55"/>
  </cols>
  <sheetData>
    <row r="1" spans="1:2">
      <c r="A1" s="51" t="s">
        <v>87</v>
      </c>
    </row>
    <row r="2" spans="1:2" ht="16" thickBot="1"/>
    <row r="3" spans="1:2">
      <c r="A3" s="495"/>
      <c r="B3" s="44">
        <f>+A3+1</f>
        <v>1</v>
      </c>
    </row>
    <row r="4" spans="1:2" s="497" customFormat="1" ht="42" customHeight="1" thickBot="1">
      <c r="A4" s="496"/>
      <c r="B4" s="242" t="s">
        <v>249</v>
      </c>
    </row>
    <row r="5" spans="1:2">
      <c r="A5" s="498"/>
      <c r="B5" s="499" t="s">
        <v>16</v>
      </c>
    </row>
    <row r="6" spans="1:2">
      <c r="A6" s="3"/>
      <c r="B6" s="175"/>
    </row>
    <row r="7" spans="1:2">
      <c r="A7" s="2" t="s">
        <v>21</v>
      </c>
      <c r="B7" s="108">
        <f>D91</f>
        <v>30.462414422084333</v>
      </c>
    </row>
    <row r="8" spans="1:2">
      <c r="A8" s="2"/>
      <c r="B8" s="108"/>
    </row>
    <row r="9" spans="1:2">
      <c r="A9" s="2" t="s">
        <v>30</v>
      </c>
      <c r="B9" s="108">
        <f>F91</f>
        <v>31.789425353502139</v>
      </c>
    </row>
    <row r="10" spans="1:2">
      <c r="A10" s="2"/>
      <c r="B10" s="108"/>
    </row>
    <row r="11" spans="1:2">
      <c r="A11" s="2" t="s">
        <v>22</v>
      </c>
      <c r="B11" s="108">
        <f>H91</f>
        <v>19.745068263336275</v>
      </c>
    </row>
    <row r="12" spans="1:2">
      <c r="A12" s="2"/>
      <c r="B12" s="108"/>
    </row>
    <row r="13" spans="1:2">
      <c r="A13" s="2" t="s">
        <v>206</v>
      </c>
      <c r="B13" s="373">
        <f>J91</f>
        <v>27.87891179649386</v>
      </c>
    </row>
    <row r="14" spans="1:2">
      <c r="A14" s="1"/>
      <c r="B14" s="39"/>
    </row>
    <row r="15" spans="1:2">
      <c r="A15" s="2" t="s">
        <v>24</v>
      </c>
      <c r="B15" s="108">
        <f>L91</f>
        <v>20.097469647376336</v>
      </c>
    </row>
    <row r="16" spans="1:2">
      <c r="A16" s="2"/>
      <c r="B16" s="108"/>
    </row>
    <row r="17" spans="1:21">
      <c r="A17" s="2" t="s">
        <v>23</v>
      </c>
      <c r="B17" s="108">
        <f>N91</f>
        <v>4.4677808479233692</v>
      </c>
    </row>
    <row r="18" spans="1:21">
      <c r="A18" s="2"/>
      <c r="B18" s="108"/>
    </row>
    <row r="19" spans="1:21">
      <c r="A19" s="2" t="s">
        <v>207</v>
      </c>
      <c r="B19" s="373">
        <f>B91</f>
        <v>21.195710674741619</v>
      </c>
    </row>
    <row r="20" spans="1:21">
      <c r="A20" s="1"/>
      <c r="B20" s="39"/>
    </row>
    <row r="21" spans="1:21" ht="16" thickBot="1">
      <c r="A21" s="176" t="s">
        <v>0</v>
      </c>
      <c r="B21" s="177">
        <f>+B17+B15+B13+B11+B9+B7+B19</f>
        <v>155.63678100545792</v>
      </c>
      <c r="C21" s="55" t="s">
        <v>7</v>
      </c>
      <c r="D21" s="299" t="s">
        <v>203</v>
      </c>
      <c r="E21" s="477"/>
      <c r="F21" s="477"/>
      <c r="G21" s="477"/>
      <c r="H21" s="477"/>
    </row>
    <row r="22" spans="1:21" ht="16" thickBot="1"/>
    <row r="23" spans="1:21" ht="32" thickTop="1" thickBot="1">
      <c r="A23" s="171" t="s">
        <v>63</v>
      </c>
      <c r="B23" s="506" t="s">
        <v>64</v>
      </c>
      <c r="C23" s="507" t="s">
        <v>200</v>
      </c>
      <c r="D23" s="506" t="s">
        <v>65</v>
      </c>
      <c r="E23" s="507" t="s">
        <v>200</v>
      </c>
      <c r="F23" s="506" t="s">
        <v>66</v>
      </c>
      <c r="G23" s="507" t="s">
        <v>200</v>
      </c>
      <c r="H23" s="506" t="s">
        <v>67</v>
      </c>
      <c r="I23" s="507" t="s">
        <v>200</v>
      </c>
      <c r="J23" s="506" t="s">
        <v>68</v>
      </c>
      <c r="K23" s="507" t="s">
        <v>200</v>
      </c>
      <c r="L23" s="506" t="s">
        <v>69</v>
      </c>
      <c r="M23" s="507" t="s">
        <v>200</v>
      </c>
      <c r="N23" s="506" t="s">
        <v>70</v>
      </c>
      <c r="O23" s="507" t="s">
        <v>200</v>
      </c>
      <c r="P23" s="506" t="s">
        <v>71</v>
      </c>
      <c r="Q23" s="506" t="s">
        <v>72</v>
      </c>
      <c r="R23" s="506" t="s">
        <v>73</v>
      </c>
      <c r="S23" s="506" t="s">
        <v>74</v>
      </c>
      <c r="T23" s="506" t="s">
        <v>75</v>
      </c>
      <c r="U23" s="508" t="s">
        <v>0</v>
      </c>
    </row>
    <row r="24" spans="1:21">
      <c r="A24" s="500"/>
      <c r="B24" s="509" t="s">
        <v>16</v>
      </c>
      <c r="C24" s="510" t="s">
        <v>16</v>
      </c>
      <c r="D24" s="509" t="s">
        <v>16</v>
      </c>
      <c r="E24" s="510"/>
      <c r="F24" s="509" t="s">
        <v>16</v>
      </c>
      <c r="G24" s="510"/>
      <c r="H24" s="509" t="s">
        <v>16</v>
      </c>
      <c r="I24" s="510"/>
      <c r="J24" s="509" t="s">
        <v>16</v>
      </c>
      <c r="K24" s="510"/>
      <c r="L24" s="509" t="s">
        <v>16</v>
      </c>
      <c r="M24" s="510"/>
      <c r="N24" s="509" t="s">
        <v>16</v>
      </c>
      <c r="O24" s="510"/>
      <c r="P24" s="509" t="s">
        <v>16</v>
      </c>
      <c r="Q24" s="509" t="s">
        <v>16</v>
      </c>
      <c r="R24" s="509" t="s">
        <v>16</v>
      </c>
      <c r="S24" s="509" t="s">
        <v>16</v>
      </c>
      <c r="T24" s="509" t="s">
        <v>16</v>
      </c>
      <c r="U24" s="511" t="s">
        <v>16</v>
      </c>
    </row>
    <row r="25" spans="1:21" ht="16" thickBot="1">
      <c r="A25" s="172" t="s">
        <v>7</v>
      </c>
      <c r="B25" s="501"/>
      <c r="C25" s="502"/>
      <c r="D25" s="501"/>
      <c r="E25" s="502"/>
      <c r="F25" s="501"/>
      <c r="G25" s="502"/>
      <c r="H25" s="501"/>
      <c r="I25" s="502"/>
      <c r="J25" s="501"/>
      <c r="K25" s="502"/>
      <c r="L25" s="501"/>
      <c r="M25" s="502"/>
      <c r="N25" s="501"/>
      <c r="O25" s="502"/>
      <c r="P25" s="501"/>
      <c r="Q25" s="501"/>
      <c r="R25" s="501"/>
      <c r="S25" s="501"/>
      <c r="T25" s="501"/>
      <c r="U25" s="503"/>
    </row>
    <row r="26" spans="1:21">
      <c r="A26" s="173" t="s">
        <v>58</v>
      </c>
      <c r="B26" s="190"/>
      <c r="C26" s="312"/>
      <c r="D26" s="190"/>
      <c r="E26" s="312"/>
      <c r="F26" s="190"/>
      <c r="G26" s="312"/>
      <c r="H26" s="190"/>
      <c r="I26" s="312"/>
      <c r="J26" s="190"/>
      <c r="K26" s="312"/>
      <c r="L26" s="190"/>
      <c r="M26" s="312"/>
      <c r="N26" s="190"/>
      <c r="O26" s="312"/>
      <c r="P26" s="190"/>
      <c r="Q26" s="190"/>
      <c r="R26" s="190"/>
      <c r="S26" s="190"/>
      <c r="T26" s="190"/>
      <c r="U26" s="191"/>
    </row>
    <row r="27" spans="1:21">
      <c r="A27" s="174" t="s">
        <v>76</v>
      </c>
      <c r="B27" s="192"/>
      <c r="C27" s="313"/>
      <c r="D27" s="192"/>
      <c r="E27" s="313"/>
      <c r="F27" s="192"/>
      <c r="G27" s="313"/>
      <c r="H27" s="192"/>
      <c r="I27" s="313"/>
      <c r="J27" s="192"/>
      <c r="K27" s="313"/>
      <c r="L27" s="192"/>
      <c r="M27" s="313"/>
      <c r="N27" s="192"/>
      <c r="O27" s="313"/>
      <c r="P27" s="192"/>
      <c r="Q27" s="192"/>
      <c r="R27" s="192"/>
      <c r="S27" s="192"/>
      <c r="T27" s="192"/>
      <c r="U27" s="193"/>
    </row>
    <row r="28" spans="1:21">
      <c r="A28" s="194" t="s">
        <v>64</v>
      </c>
      <c r="B28" s="199">
        <f>18.792-5.524</f>
        <v>13.268000000000001</v>
      </c>
      <c r="C28" s="313">
        <v>5.5239083999999998</v>
      </c>
      <c r="D28" s="199">
        <f>0.054-0.02</f>
        <v>3.4000000000000002E-2</v>
      </c>
      <c r="E28" s="313">
        <v>1.9539127863856531E-2</v>
      </c>
      <c r="F28" s="192">
        <v>0</v>
      </c>
      <c r="G28" s="313">
        <v>0</v>
      </c>
      <c r="H28" s="199">
        <f>0.585-0.504</f>
        <v>8.0999999999999961E-2</v>
      </c>
      <c r="I28" s="313">
        <v>0.50367205885706157</v>
      </c>
      <c r="J28" s="199">
        <f>0.206-0.166</f>
        <v>3.999999999999998E-2</v>
      </c>
      <c r="K28" s="313">
        <v>0.16630296611699324</v>
      </c>
      <c r="L28" s="199">
        <f>0.837-0.01</f>
        <v>0.82699999999999996</v>
      </c>
      <c r="M28" s="313">
        <v>1.0174702468501939E-2</v>
      </c>
      <c r="N28" s="199">
        <f>0.269-0.006</f>
        <v>0.26300000000000001</v>
      </c>
      <c r="O28" s="313">
        <v>6.0662489791641905E-3</v>
      </c>
      <c r="P28" s="192">
        <v>0.24199999999999999</v>
      </c>
      <c r="Q28" s="192">
        <v>8.7999999999999995E-2</v>
      </c>
      <c r="R28" s="192">
        <v>2E-3</v>
      </c>
      <c r="S28" s="192">
        <v>9.0999999999999998E-2</v>
      </c>
      <c r="T28" s="192">
        <v>0.16800000000000001</v>
      </c>
      <c r="U28" s="314">
        <f t="shared" ref="U28:U39" si="0">B28+D28+F28+H28+J28+L28+N28+P28+Q28+R28+S28+T28</f>
        <v>15.103999999999997</v>
      </c>
    </row>
    <row r="29" spans="1:21">
      <c r="A29" s="194" t="s">
        <v>65</v>
      </c>
      <c r="B29" s="192">
        <v>0</v>
      </c>
      <c r="C29" s="313">
        <v>0</v>
      </c>
      <c r="D29" s="192">
        <v>18.087022297480704</v>
      </c>
      <c r="E29" s="313"/>
      <c r="F29" s="192">
        <v>0</v>
      </c>
      <c r="G29" s="313"/>
      <c r="H29" s="192">
        <v>0</v>
      </c>
      <c r="I29" s="313"/>
      <c r="J29" s="192">
        <v>0</v>
      </c>
      <c r="K29" s="313"/>
      <c r="L29" s="192">
        <v>0</v>
      </c>
      <c r="M29" s="313"/>
      <c r="N29" s="192">
        <v>0</v>
      </c>
      <c r="O29" s="313"/>
      <c r="P29" s="192">
        <v>0</v>
      </c>
      <c r="Q29" s="192">
        <v>0</v>
      </c>
      <c r="R29" s="192">
        <v>2.1000000000000001E-2</v>
      </c>
      <c r="S29" s="192">
        <v>0</v>
      </c>
      <c r="T29" s="192">
        <v>0</v>
      </c>
      <c r="U29" s="314">
        <f t="shared" si="0"/>
        <v>18.108022297480705</v>
      </c>
    </row>
    <row r="30" spans="1:21">
      <c r="A30" s="194" t="s">
        <v>66</v>
      </c>
      <c r="B30" s="192">
        <v>0</v>
      </c>
      <c r="C30" s="313">
        <v>0</v>
      </c>
      <c r="D30" s="192">
        <v>0</v>
      </c>
      <c r="E30" s="313"/>
      <c r="F30" s="192">
        <v>26.986999999999998</v>
      </c>
      <c r="G30" s="313"/>
      <c r="H30" s="192">
        <v>0</v>
      </c>
      <c r="I30" s="313"/>
      <c r="J30" s="192">
        <v>0</v>
      </c>
      <c r="K30" s="313"/>
      <c r="L30" s="192">
        <v>0</v>
      </c>
      <c r="M30" s="313"/>
      <c r="N30" s="192">
        <v>0</v>
      </c>
      <c r="O30" s="313"/>
      <c r="P30" s="192">
        <v>0.23499999999999999</v>
      </c>
      <c r="Q30" s="192">
        <v>0.34899999999999998</v>
      </c>
      <c r="R30" s="192">
        <v>0</v>
      </c>
      <c r="S30" s="192">
        <v>1.0999999999999999E-2</v>
      </c>
      <c r="T30" s="192">
        <v>0</v>
      </c>
      <c r="U30" s="314">
        <f t="shared" si="0"/>
        <v>27.581999999999997</v>
      </c>
    </row>
    <row r="31" spans="1:21">
      <c r="A31" s="194" t="s">
        <v>67</v>
      </c>
      <c r="B31" s="199">
        <f>0.11-0.032</f>
        <v>7.8E-2</v>
      </c>
      <c r="C31" s="313">
        <v>3.2334500000000002E-2</v>
      </c>
      <c r="D31" s="192">
        <v>0.48299999999999998</v>
      </c>
      <c r="E31" s="313"/>
      <c r="F31" s="192">
        <v>8.9999999999999993E-3</v>
      </c>
      <c r="G31" s="313"/>
      <c r="H31" s="192">
        <v>10.517999999999999</v>
      </c>
      <c r="I31" s="313"/>
      <c r="J31" s="199">
        <f>0.256+0.032</f>
        <v>0.28800000000000003</v>
      </c>
      <c r="K31" s="313"/>
      <c r="L31" s="192">
        <v>7.0000000000000007E-2</v>
      </c>
      <c r="M31" s="313"/>
      <c r="N31" s="192">
        <v>1.4999999999999999E-2</v>
      </c>
      <c r="O31" s="313"/>
      <c r="P31" s="192">
        <v>2.698</v>
      </c>
      <c r="Q31" s="192">
        <v>4.4999999999999998E-2</v>
      </c>
      <c r="R31" s="192">
        <v>0.83899999999999997</v>
      </c>
      <c r="S31" s="192">
        <v>5.6000000000000001E-2</v>
      </c>
      <c r="T31" s="192">
        <v>1.4750000000000001</v>
      </c>
      <c r="U31" s="314">
        <f t="shared" si="0"/>
        <v>16.574000000000002</v>
      </c>
    </row>
    <row r="32" spans="1:21">
      <c r="A32" s="194" t="s">
        <v>68</v>
      </c>
      <c r="B32" s="199">
        <f>0.16-0.047</f>
        <v>0.113</v>
      </c>
      <c r="C32" s="313">
        <v>4.7031999999999997E-2</v>
      </c>
      <c r="D32" s="199">
        <v>0.02</v>
      </c>
      <c r="E32" s="313"/>
      <c r="F32" s="192">
        <v>0</v>
      </c>
      <c r="G32" s="313"/>
      <c r="H32" s="199">
        <f>0.171+0.504</f>
        <v>0.67500000000000004</v>
      </c>
      <c r="I32" s="313"/>
      <c r="J32" s="199">
        <f>12.044+5.524+0.166+0.047</f>
        <v>17.781000000000002</v>
      </c>
      <c r="K32" s="313"/>
      <c r="L32" s="199">
        <v>0.01</v>
      </c>
      <c r="M32" s="313"/>
      <c r="N32" s="199">
        <v>6.0000000000000001E-3</v>
      </c>
      <c r="O32" s="313"/>
      <c r="P32" s="192">
        <v>0</v>
      </c>
      <c r="Q32" s="192">
        <v>1.2E-2</v>
      </c>
      <c r="R32" s="192">
        <v>0</v>
      </c>
      <c r="S32" s="192">
        <v>0</v>
      </c>
      <c r="T32" s="192">
        <v>0</v>
      </c>
      <c r="U32" s="314">
        <f t="shared" si="0"/>
        <v>18.617000000000004</v>
      </c>
    </row>
    <row r="33" spans="1:21">
      <c r="A33" s="194" t="s">
        <v>69</v>
      </c>
      <c r="B33" s="192">
        <v>0</v>
      </c>
      <c r="C33" s="313">
        <v>0</v>
      </c>
      <c r="D33" s="192">
        <v>0</v>
      </c>
      <c r="E33" s="313"/>
      <c r="F33" s="192">
        <v>0</v>
      </c>
      <c r="G33" s="313"/>
      <c r="H33" s="192">
        <v>0</v>
      </c>
      <c r="I33" s="313"/>
      <c r="J33" s="192">
        <v>0</v>
      </c>
      <c r="K33" s="313"/>
      <c r="L33" s="192">
        <v>12.846</v>
      </c>
      <c r="M33" s="313"/>
      <c r="N33" s="192">
        <v>0</v>
      </c>
      <c r="O33" s="313"/>
      <c r="P33" s="192">
        <v>2E-3</v>
      </c>
      <c r="Q33" s="192">
        <v>0.02</v>
      </c>
      <c r="R33" s="192">
        <v>3.0000000000000001E-3</v>
      </c>
      <c r="S33" s="192">
        <v>1.4E-2</v>
      </c>
      <c r="T33" s="192">
        <v>0</v>
      </c>
      <c r="U33" s="314">
        <f t="shared" si="0"/>
        <v>12.885</v>
      </c>
    </row>
    <row r="34" spans="1:21">
      <c r="A34" s="194" t="s">
        <v>70</v>
      </c>
      <c r="B34" s="192">
        <v>0</v>
      </c>
      <c r="C34" s="313">
        <v>0</v>
      </c>
      <c r="D34" s="192">
        <v>0</v>
      </c>
      <c r="E34" s="313"/>
      <c r="F34" s="192">
        <v>0</v>
      </c>
      <c r="G34" s="313"/>
      <c r="H34" s="192">
        <v>0</v>
      </c>
      <c r="I34" s="313"/>
      <c r="J34" s="192">
        <v>0</v>
      </c>
      <c r="K34" s="313"/>
      <c r="L34" s="192">
        <v>0</v>
      </c>
      <c r="M34" s="313"/>
      <c r="N34" s="192">
        <v>3.1739999999999999</v>
      </c>
      <c r="O34" s="313"/>
      <c r="P34" s="192">
        <v>0</v>
      </c>
      <c r="Q34" s="192">
        <v>0</v>
      </c>
      <c r="R34" s="192">
        <v>0</v>
      </c>
      <c r="S34" s="192">
        <v>0</v>
      </c>
      <c r="T34" s="192">
        <v>0</v>
      </c>
      <c r="U34" s="314">
        <f t="shared" si="0"/>
        <v>3.1739999999999999</v>
      </c>
    </row>
    <row r="35" spans="1:21">
      <c r="A35" s="194" t="s">
        <v>77</v>
      </c>
      <c r="B35" s="199">
        <f>0.123-0.036</f>
        <v>8.6999999999999994E-2</v>
      </c>
      <c r="C35" s="313">
        <v>3.6155849999999996E-2</v>
      </c>
      <c r="D35" s="192">
        <v>0.48870000000000002</v>
      </c>
      <c r="E35" s="313"/>
      <c r="F35" s="192">
        <v>0</v>
      </c>
      <c r="G35" s="313"/>
      <c r="H35" s="192">
        <v>0.35699999999999998</v>
      </c>
      <c r="I35" s="313"/>
      <c r="J35" s="199">
        <f>0.231+0.036</f>
        <v>0.26700000000000002</v>
      </c>
      <c r="K35" s="313"/>
      <c r="L35" s="315">
        <f>0.0189</f>
        <v>1.89E-2</v>
      </c>
      <c r="M35" s="313"/>
      <c r="N35" s="192">
        <v>2.5700000000000001E-2</v>
      </c>
      <c r="O35" s="313"/>
      <c r="P35" s="316">
        <v>0.02</v>
      </c>
      <c r="Q35" s="316">
        <v>0.06</v>
      </c>
      <c r="R35" s="316">
        <v>3.9E-2</v>
      </c>
      <c r="S35" s="192">
        <v>0</v>
      </c>
      <c r="T35" s="192">
        <v>0.59899999999999998</v>
      </c>
      <c r="U35" s="314">
        <f t="shared" si="0"/>
        <v>1.9622999999999999</v>
      </c>
    </row>
    <row r="36" spans="1:21">
      <c r="A36" s="194" t="s">
        <v>37</v>
      </c>
      <c r="B36" s="192">
        <v>0</v>
      </c>
      <c r="C36" s="313">
        <v>0</v>
      </c>
      <c r="D36" s="192">
        <v>0</v>
      </c>
      <c r="E36" s="313"/>
      <c r="F36" s="192">
        <v>0</v>
      </c>
      <c r="G36" s="313"/>
      <c r="H36" s="192">
        <v>0</v>
      </c>
      <c r="I36" s="313"/>
      <c r="J36" s="192">
        <v>0</v>
      </c>
      <c r="K36" s="313"/>
      <c r="L36" s="192">
        <v>0</v>
      </c>
      <c r="M36" s="313"/>
      <c r="N36" s="192">
        <v>0</v>
      </c>
      <c r="O36" s="313"/>
      <c r="P36" s="192">
        <v>0</v>
      </c>
      <c r="Q36" s="192">
        <v>0</v>
      </c>
      <c r="R36" s="192">
        <v>0</v>
      </c>
      <c r="S36" s="192">
        <v>0</v>
      </c>
      <c r="T36" s="192">
        <v>5.9029999999999996</v>
      </c>
      <c r="U36" s="314">
        <f t="shared" si="0"/>
        <v>5.9029999999999996</v>
      </c>
    </row>
    <row r="37" spans="1:21">
      <c r="A37" s="194" t="s">
        <v>78</v>
      </c>
      <c r="B37" s="192">
        <v>0</v>
      </c>
      <c r="C37" s="313">
        <v>0</v>
      </c>
      <c r="D37" s="192">
        <v>0</v>
      </c>
      <c r="E37" s="313"/>
      <c r="F37" s="192">
        <v>0</v>
      </c>
      <c r="G37" s="313"/>
      <c r="H37" s="192">
        <v>0</v>
      </c>
      <c r="I37" s="313"/>
      <c r="J37" s="192">
        <v>0</v>
      </c>
      <c r="K37" s="313"/>
      <c r="L37" s="192">
        <v>0</v>
      </c>
      <c r="M37" s="313"/>
      <c r="N37" s="192">
        <v>0</v>
      </c>
      <c r="O37" s="313"/>
      <c r="P37" s="192">
        <v>0</v>
      </c>
      <c r="Q37" s="192">
        <v>0</v>
      </c>
      <c r="R37" s="192">
        <v>0</v>
      </c>
      <c r="S37" s="192">
        <v>0</v>
      </c>
      <c r="T37" s="192">
        <v>0</v>
      </c>
      <c r="U37" s="314">
        <f t="shared" si="0"/>
        <v>0</v>
      </c>
    </row>
    <row r="38" spans="1:21">
      <c r="A38" s="194" t="s">
        <v>79</v>
      </c>
      <c r="B38" s="192">
        <v>0</v>
      </c>
      <c r="C38" s="313">
        <v>0</v>
      </c>
      <c r="D38" s="192">
        <v>0</v>
      </c>
      <c r="E38" s="313"/>
      <c r="F38" s="192">
        <v>0</v>
      </c>
      <c r="G38" s="313"/>
      <c r="H38" s="192">
        <v>0</v>
      </c>
      <c r="I38" s="313"/>
      <c r="J38" s="192">
        <v>0</v>
      </c>
      <c r="K38" s="313"/>
      <c r="L38" s="192">
        <v>0</v>
      </c>
      <c r="M38" s="313"/>
      <c r="N38" s="192">
        <v>0</v>
      </c>
      <c r="O38" s="313"/>
      <c r="P38" s="192">
        <v>0</v>
      </c>
      <c r="Q38" s="192">
        <v>0</v>
      </c>
      <c r="R38" s="192">
        <v>0</v>
      </c>
      <c r="S38" s="192">
        <v>0</v>
      </c>
      <c r="T38" s="192">
        <v>1.1160000000000001</v>
      </c>
      <c r="U38" s="314">
        <f t="shared" si="0"/>
        <v>1.1160000000000001</v>
      </c>
    </row>
    <row r="39" spans="1:21">
      <c r="A39" s="178" t="s">
        <v>329</v>
      </c>
      <c r="B39" s="179">
        <f>SUM(B28:B38)</f>
        <v>13.545999999999999</v>
      </c>
      <c r="C39" s="317">
        <v>5.6394307499999998</v>
      </c>
      <c r="D39" s="179">
        <f>SUM(D28:D38)</f>
        <v>19.112722297480705</v>
      </c>
      <c r="E39" s="317">
        <v>1.9539127863856531E-2</v>
      </c>
      <c r="F39" s="179">
        <f>SUM(F28:F38)</f>
        <v>26.995999999999999</v>
      </c>
      <c r="G39" s="317">
        <v>0</v>
      </c>
      <c r="H39" s="179">
        <f>SUM(H28:H38)</f>
        <v>11.630999999999998</v>
      </c>
      <c r="I39" s="317">
        <v>0.50367205885706157</v>
      </c>
      <c r="J39" s="179">
        <f>SUM(J28:J38)</f>
        <v>18.376000000000001</v>
      </c>
      <c r="K39" s="317">
        <v>0.16630296611699324</v>
      </c>
      <c r="L39" s="179">
        <f>SUM(L28:L38)</f>
        <v>13.7719</v>
      </c>
      <c r="M39" s="317">
        <v>1.0174702468501939E-2</v>
      </c>
      <c r="N39" s="179">
        <f>SUM(N28:N38)</f>
        <v>3.4837000000000002</v>
      </c>
      <c r="O39" s="317">
        <v>6.0662489791641905E-3</v>
      </c>
      <c r="P39" s="179">
        <f>SUM(P28:P38)</f>
        <v>3.1969999999999996</v>
      </c>
      <c r="Q39" s="179">
        <f>SUM(Q28:Q38)</f>
        <v>0.57399999999999984</v>
      </c>
      <c r="R39" s="179">
        <f>SUM(R28:R38)</f>
        <v>0.90400000000000003</v>
      </c>
      <c r="S39" s="179">
        <f>SUM(S28:S38)</f>
        <v>0.17200000000000001</v>
      </c>
      <c r="T39" s="179">
        <f>SUM(T28:T38)</f>
        <v>9.2609999999999992</v>
      </c>
      <c r="U39" s="314">
        <f t="shared" si="0"/>
        <v>121.0253222974807</v>
      </c>
    </row>
    <row r="40" spans="1:21">
      <c r="A40" s="178" t="s">
        <v>90</v>
      </c>
      <c r="B40" s="192"/>
      <c r="C40" s="313"/>
      <c r="D40" s="192"/>
      <c r="E40" s="313"/>
      <c r="F40" s="192"/>
      <c r="G40" s="313"/>
      <c r="H40" s="192"/>
      <c r="I40" s="313"/>
      <c r="J40" s="192"/>
      <c r="K40" s="313"/>
      <c r="L40" s="192"/>
      <c r="M40" s="313"/>
      <c r="N40" s="192"/>
      <c r="O40" s="313"/>
      <c r="P40" s="192"/>
      <c r="Q40" s="192"/>
      <c r="R40" s="192"/>
      <c r="S40" s="192"/>
      <c r="T40" s="192"/>
      <c r="U40" s="193"/>
    </row>
    <row r="41" spans="1:21">
      <c r="A41" s="194" t="s">
        <v>89</v>
      </c>
      <c r="B41" s="199">
        <f>0.042318-0.04</f>
        <v>2.3180000000000006E-3</v>
      </c>
      <c r="C41" s="313">
        <v>3.9758229819412315E-2</v>
      </c>
      <c r="D41" s="192">
        <v>0.168931</v>
      </c>
      <c r="E41" s="313"/>
      <c r="F41" s="192">
        <v>0</v>
      </c>
      <c r="G41" s="313"/>
      <c r="H41" s="192">
        <v>0.118699</v>
      </c>
      <c r="I41" s="313"/>
      <c r="J41" s="192">
        <f>0.080508+0.04</f>
        <v>0.120508</v>
      </c>
      <c r="K41" s="313"/>
      <c r="L41" s="192">
        <v>7.5690000000000002E-3</v>
      </c>
      <c r="M41" s="313"/>
      <c r="N41" s="192">
        <v>7.9129999999999999E-3</v>
      </c>
      <c r="O41" s="313"/>
      <c r="P41" s="192"/>
      <c r="Q41" s="192"/>
      <c r="R41" s="192"/>
      <c r="S41" s="192"/>
      <c r="T41" s="192">
        <v>-0.59899999999999998</v>
      </c>
      <c r="U41" s="314">
        <f>B41+D41+F41+H41+J41+L41+N41+P41+Q41+R41+S41+T41</f>
        <v>-0.17306199999999999</v>
      </c>
    </row>
    <row r="42" spans="1:21" ht="31">
      <c r="A42" s="195" t="s">
        <v>80</v>
      </c>
      <c r="B42" s="192">
        <v>0</v>
      </c>
      <c r="C42" s="313"/>
      <c r="D42" s="192">
        <v>0</v>
      </c>
      <c r="E42" s="313"/>
      <c r="F42" s="192">
        <v>0</v>
      </c>
      <c r="G42" s="313"/>
      <c r="H42" s="192">
        <v>0</v>
      </c>
      <c r="I42" s="313"/>
      <c r="J42" s="192">
        <v>0</v>
      </c>
      <c r="K42" s="313"/>
      <c r="L42" s="192">
        <v>0</v>
      </c>
      <c r="M42" s="313"/>
      <c r="N42" s="192">
        <v>0</v>
      </c>
      <c r="O42" s="313"/>
      <c r="P42" s="192">
        <v>0</v>
      </c>
      <c r="Q42" s="192">
        <v>0</v>
      </c>
      <c r="R42" s="192">
        <v>0</v>
      </c>
      <c r="S42" s="192">
        <v>0</v>
      </c>
      <c r="T42" s="192">
        <v>-0.10100000000000001</v>
      </c>
      <c r="U42" s="314">
        <f>B42+D42+F42+H42+J42+L42+N42+P42+Q42+R42+S42+T42</f>
        <v>-0.10100000000000001</v>
      </c>
    </row>
    <row r="43" spans="1:21" ht="31">
      <c r="A43" s="195" t="s">
        <v>85</v>
      </c>
      <c r="B43" s="199">
        <f>0.002-0.002</f>
        <v>0</v>
      </c>
      <c r="C43" s="313">
        <v>-2.4566494407190506E-3</v>
      </c>
      <c r="D43" s="192">
        <v>-1.0389113954514461E-2</v>
      </c>
      <c r="E43" s="313"/>
      <c r="F43" s="192">
        <v>0</v>
      </c>
      <c r="G43" s="313"/>
      <c r="H43" s="192">
        <v>-7.5893465966066342E-3</v>
      </c>
      <c r="I43" s="313"/>
      <c r="J43" s="199">
        <f>-0.00491075368015723-0.002</f>
        <v>-6.9107536801572304E-3</v>
      </c>
      <c r="K43" s="313"/>
      <c r="L43" s="192">
        <v>-4.0178893746741E-4</v>
      </c>
      <c r="M43" s="313"/>
      <c r="N43" s="192">
        <v>-5.4634792025991729E-4</v>
      </c>
      <c r="O43" s="313"/>
      <c r="P43" s="192">
        <v>0</v>
      </c>
      <c r="Q43" s="192">
        <v>0</v>
      </c>
      <c r="R43" s="192">
        <v>0</v>
      </c>
      <c r="S43" s="192">
        <v>0</v>
      </c>
      <c r="T43" s="192">
        <v>0</v>
      </c>
      <c r="U43" s="314">
        <f>B43+D43+F43+H43+J43+L43+N43+P43+Q43+R43+S43+T43</f>
        <v>-2.5837351089005652E-2</v>
      </c>
    </row>
    <row r="44" spans="1:21" ht="31">
      <c r="A44" s="195" t="s">
        <v>81</v>
      </c>
      <c r="B44" s="199">
        <f>-2.761+0.774</f>
        <v>-1.9870000000000001</v>
      </c>
      <c r="C44" s="313">
        <v>-0.77361044353440855</v>
      </c>
      <c r="D44" s="192">
        <v>-2.1</v>
      </c>
      <c r="E44" s="313"/>
      <c r="F44" s="192">
        <v>-2.4</v>
      </c>
      <c r="G44" s="313"/>
      <c r="H44" s="192">
        <v>-2.8660000000000001</v>
      </c>
      <c r="I44" s="313"/>
      <c r="J44" s="199">
        <f>-0.945-0.774</f>
        <v>-1.7189999999999999</v>
      </c>
      <c r="K44" s="313"/>
      <c r="L44" s="192">
        <v>-1.022</v>
      </c>
      <c r="M44" s="313"/>
      <c r="N44" s="192">
        <v>-0.23400000000000001</v>
      </c>
      <c r="O44" s="313"/>
      <c r="P44" s="192">
        <v>0</v>
      </c>
      <c r="Q44" s="192">
        <v>0</v>
      </c>
      <c r="R44" s="192">
        <v>0</v>
      </c>
      <c r="S44" s="192">
        <v>0</v>
      </c>
      <c r="T44" s="192">
        <v>0</v>
      </c>
      <c r="U44" s="314">
        <f>B44+D44+F44+H44+J44+L44+N44+P44+Q44+R44+S44+T44</f>
        <v>-12.327999999999999</v>
      </c>
    </row>
    <row r="45" spans="1:21" ht="31">
      <c r="A45" s="318" t="s">
        <v>330</v>
      </c>
      <c r="B45" s="179">
        <f>SUM(B39:B44)</f>
        <v>11.561318</v>
      </c>
      <c r="C45" s="317">
        <f t="shared" ref="C45:T45" si="1">SUM(C39:C44)</f>
        <v>4.9031218868442838</v>
      </c>
      <c r="D45" s="179">
        <f t="shared" si="1"/>
        <v>17.171264183526191</v>
      </c>
      <c r="E45" s="317">
        <f t="shared" si="1"/>
        <v>1.9539127863856531E-2</v>
      </c>
      <c r="F45" s="179">
        <f t="shared" si="1"/>
        <v>24.596</v>
      </c>
      <c r="G45" s="317">
        <f t="shared" si="1"/>
        <v>0</v>
      </c>
      <c r="H45" s="179">
        <f t="shared" si="1"/>
        <v>8.8761096534033914</v>
      </c>
      <c r="I45" s="317">
        <f t="shared" si="1"/>
        <v>0.50367205885706157</v>
      </c>
      <c r="J45" s="179">
        <f t="shared" si="1"/>
        <v>16.770597246319845</v>
      </c>
      <c r="K45" s="317">
        <f t="shared" si="1"/>
        <v>0.16630296611699324</v>
      </c>
      <c r="L45" s="179">
        <f t="shared" si="1"/>
        <v>12.757067211062534</v>
      </c>
      <c r="M45" s="317">
        <f t="shared" si="1"/>
        <v>1.0174702468501939E-2</v>
      </c>
      <c r="N45" s="179">
        <f t="shared" si="1"/>
        <v>3.25706665207974</v>
      </c>
      <c r="O45" s="317">
        <f t="shared" si="1"/>
        <v>6.0662489791641905E-3</v>
      </c>
      <c r="P45" s="179">
        <f t="shared" si="1"/>
        <v>3.1969999999999996</v>
      </c>
      <c r="Q45" s="179">
        <f t="shared" si="1"/>
        <v>0.57399999999999984</v>
      </c>
      <c r="R45" s="179">
        <f t="shared" si="1"/>
        <v>0.90400000000000003</v>
      </c>
      <c r="S45" s="179">
        <f t="shared" si="1"/>
        <v>0.17200000000000001</v>
      </c>
      <c r="T45" s="179">
        <f t="shared" si="1"/>
        <v>8.5609999999999982</v>
      </c>
      <c r="U45" s="314">
        <f>B45+D45+F45+H45+J45+L45+N45+P45+Q45+R45+S45+T45</f>
        <v>108.3974229463917</v>
      </c>
    </row>
    <row r="46" spans="1:21">
      <c r="A46" s="178" t="s">
        <v>94</v>
      </c>
      <c r="B46" s="179"/>
      <c r="C46" s="317"/>
      <c r="D46" s="179"/>
      <c r="E46" s="317"/>
      <c r="F46" s="179"/>
      <c r="G46" s="317"/>
      <c r="H46" s="179"/>
      <c r="I46" s="317"/>
      <c r="J46" s="179"/>
      <c r="K46" s="317"/>
      <c r="L46" s="179"/>
      <c r="M46" s="317"/>
      <c r="N46" s="179"/>
      <c r="O46" s="317"/>
      <c r="P46" s="179"/>
      <c r="Q46" s="179"/>
      <c r="R46" s="179"/>
      <c r="S46" s="179"/>
      <c r="T46" s="179"/>
      <c r="U46" s="180"/>
    </row>
    <row r="47" spans="1:21" ht="31">
      <c r="A47" s="195" t="s">
        <v>95</v>
      </c>
      <c r="B47" s="199">
        <f>3.376-0.946</f>
        <v>2.4299999999999997</v>
      </c>
      <c r="C47" s="313">
        <v>0.94620450007835077</v>
      </c>
      <c r="D47" s="192">
        <v>4.1099999999999994</v>
      </c>
      <c r="E47" s="313"/>
      <c r="F47" s="192">
        <v>3.4690000000000003</v>
      </c>
      <c r="G47" s="313"/>
      <c r="H47" s="192">
        <v>3.492</v>
      </c>
      <c r="I47" s="313"/>
      <c r="J47" s="199">
        <f>2.655+0.946</f>
        <v>3.601</v>
      </c>
      <c r="K47" s="313"/>
      <c r="L47" s="192">
        <v>2.2000000000000002</v>
      </c>
      <c r="M47" s="313"/>
      <c r="N47" s="192">
        <v>-0.45100000000000001</v>
      </c>
      <c r="O47" s="313"/>
      <c r="P47" s="192"/>
      <c r="Q47" s="192"/>
      <c r="R47" s="192"/>
      <c r="S47" s="192"/>
      <c r="T47" s="192"/>
      <c r="U47" s="314">
        <f t="shared" ref="U47:U52" si="2">B47+D47+F47+H47+J47+L47+N47+P47+Q47+R47+S47+T47</f>
        <v>18.850999999999999</v>
      </c>
    </row>
    <row r="48" spans="1:21" ht="31">
      <c r="A48" s="195" t="s">
        <v>96</v>
      </c>
      <c r="B48" s="199">
        <f>0.20604218554959-0.194</f>
        <v>1.2042185549589995E-2</v>
      </c>
      <c r="C48" s="313">
        <v>0.19357891595951088</v>
      </c>
      <c r="D48" s="192">
        <v>0.55158294683948306</v>
      </c>
      <c r="E48" s="313"/>
      <c r="F48" s="192">
        <v>0</v>
      </c>
      <c r="G48" s="313"/>
      <c r="H48" s="192">
        <v>0.41159975905210122</v>
      </c>
      <c r="I48" s="313"/>
      <c r="J48" s="199">
        <f>0.267764752209326+0.194</f>
        <v>0.461764752209326</v>
      </c>
      <c r="K48" s="313"/>
      <c r="L48" s="192">
        <v>8.1095872403186539E-2</v>
      </c>
      <c r="M48" s="313"/>
      <c r="N48" s="192">
        <v>4.596337502890669E-2</v>
      </c>
      <c r="O48" s="313"/>
      <c r="P48" s="192"/>
      <c r="Q48" s="192"/>
      <c r="R48" s="192"/>
      <c r="S48" s="192"/>
      <c r="T48" s="192"/>
      <c r="U48" s="314">
        <f t="shared" si="2"/>
        <v>1.5640488910825936</v>
      </c>
    </row>
    <row r="49" spans="1:21" ht="31">
      <c r="A49" s="195" t="s">
        <v>97</v>
      </c>
      <c r="B49" s="192"/>
      <c r="C49" s="313"/>
      <c r="D49" s="192"/>
      <c r="E49" s="313"/>
      <c r="F49" s="192"/>
      <c r="G49" s="313"/>
      <c r="H49" s="192"/>
      <c r="I49" s="313"/>
      <c r="J49" s="192"/>
      <c r="K49" s="313"/>
      <c r="L49" s="192"/>
      <c r="M49" s="313"/>
      <c r="N49" s="192"/>
      <c r="O49" s="313"/>
      <c r="P49" s="192"/>
      <c r="Q49" s="192"/>
      <c r="R49" s="192"/>
      <c r="S49" s="192"/>
      <c r="T49" s="192">
        <v>4.01</v>
      </c>
      <c r="U49" s="314">
        <f t="shared" si="2"/>
        <v>4.01</v>
      </c>
    </row>
    <row r="50" spans="1:21" ht="31">
      <c r="A50" s="195" t="s">
        <v>98</v>
      </c>
      <c r="B50" s="192"/>
      <c r="C50" s="313"/>
      <c r="D50" s="192"/>
      <c r="E50" s="313"/>
      <c r="F50" s="192"/>
      <c r="G50" s="313"/>
      <c r="H50" s="192"/>
      <c r="I50" s="313"/>
      <c r="J50" s="192"/>
      <c r="K50" s="313"/>
      <c r="L50" s="192"/>
      <c r="M50" s="313"/>
      <c r="N50" s="192"/>
      <c r="O50" s="313"/>
      <c r="P50" s="192"/>
      <c r="Q50" s="192"/>
      <c r="R50" s="192"/>
      <c r="S50" s="192"/>
      <c r="T50" s="192">
        <v>0.53</v>
      </c>
      <c r="U50" s="314">
        <f t="shared" si="2"/>
        <v>0.53</v>
      </c>
    </row>
    <row r="51" spans="1:21" ht="31">
      <c r="A51" s="195" t="s">
        <v>100</v>
      </c>
      <c r="B51" s="192"/>
      <c r="C51" s="313"/>
      <c r="D51" s="192"/>
      <c r="E51" s="313"/>
      <c r="F51" s="192"/>
      <c r="G51" s="313"/>
      <c r="H51" s="192"/>
      <c r="I51" s="313"/>
      <c r="J51" s="192"/>
      <c r="K51" s="313"/>
      <c r="L51" s="192"/>
      <c r="M51" s="313"/>
      <c r="N51" s="192"/>
      <c r="O51" s="313"/>
      <c r="P51" s="192"/>
      <c r="Q51" s="192"/>
      <c r="R51" s="192"/>
      <c r="S51" s="192"/>
      <c r="T51" s="192">
        <v>2.3319999999999999</v>
      </c>
      <c r="U51" s="314">
        <f t="shared" si="2"/>
        <v>2.3319999999999999</v>
      </c>
    </row>
    <row r="52" spans="1:21" ht="31">
      <c r="A52" s="318" t="s">
        <v>331</v>
      </c>
      <c r="B52" s="179">
        <f>SUM(B45:B51)</f>
        <v>14.003360185549589</v>
      </c>
      <c r="C52" s="317">
        <f t="shared" ref="C52:T52" si="3">SUM(C45:C51)</f>
        <v>6.0429053028821453</v>
      </c>
      <c r="D52" s="179">
        <f t="shared" si="3"/>
        <v>21.832847130365671</v>
      </c>
      <c r="E52" s="317">
        <f t="shared" si="3"/>
        <v>1.9539127863856531E-2</v>
      </c>
      <c r="F52" s="179">
        <f t="shared" si="3"/>
        <v>28.065000000000001</v>
      </c>
      <c r="G52" s="317">
        <f t="shared" si="3"/>
        <v>0</v>
      </c>
      <c r="H52" s="179">
        <f t="shared" si="3"/>
        <v>12.779709412455492</v>
      </c>
      <c r="I52" s="317">
        <f t="shared" si="3"/>
        <v>0.50367205885706157</v>
      </c>
      <c r="J52" s="179">
        <f t="shared" si="3"/>
        <v>20.83336199852917</v>
      </c>
      <c r="K52" s="317">
        <f t="shared" si="3"/>
        <v>0.16630296611699324</v>
      </c>
      <c r="L52" s="179">
        <f t="shared" si="3"/>
        <v>15.038163083465721</v>
      </c>
      <c r="M52" s="317">
        <f t="shared" si="3"/>
        <v>1.0174702468501939E-2</v>
      </c>
      <c r="N52" s="179">
        <f t="shared" si="3"/>
        <v>2.8520300271086465</v>
      </c>
      <c r="O52" s="317">
        <f t="shared" si="3"/>
        <v>6.0662489791641905E-3</v>
      </c>
      <c r="P52" s="179">
        <f t="shared" si="3"/>
        <v>3.1969999999999996</v>
      </c>
      <c r="Q52" s="179">
        <f t="shared" si="3"/>
        <v>0.57399999999999984</v>
      </c>
      <c r="R52" s="179">
        <f t="shared" si="3"/>
        <v>0.90400000000000003</v>
      </c>
      <c r="S52" s="179">
        <f t="shared" si="3"/>
        <v>0.17200000000000001</v>
      </c>
      <c r="T52" s="179">
        <f t="shared" si="3"/>
        <v>15.432999999999996</v>
      </c>
      <c r="U52" s="314">
        <f t="shared" si="2"/>
        <v>135.68447183747426</v>
      </c>
    </row>
    <row r="53" spans="1:21" ht="31">
      <c r="A53" s="318" t="s">
        <v>332</v>
      </c>
      <c r="B53" s="281"/>
      <c r="C53" s="317"/>
      <c r="D53" s="281"/>
      <c r="E53" s="317"/>
      <c r="F53" s="281"/>
      <c r="G53" s="317"/>
      <c r="H53" s="281"/>
      <c r="I53" s="317"/>
      <c r="J53" s="281"/>
      <c r="K53" s="317"/>
      <c r="L53" s="281"/>
      <c r="M53" s="317"/>
      <c r="N53" s="281"/>
      <c r="O53" s="317"/>
      <c r="P53" s="281"/>
      <c r="Q53" s="281"/>
      <c r="R53" s="281"/>
      <c r="S53" s="281"/>
      <c r="T53" s="281"/>
      <c r="U53" s="282"/>
    </row>
    <row r="54" spans="1:21">
      <c r="A54" s="178" t="s">
        <v>201</v>
      </c>
      <c r="B54" s="179"/>
      <c r="C54" s="317"/>
      <c r="D54" s="179"/>
      <c r="E54" s="317"/>
      <c r="F54" s="179"/>
      <c r="G54" s="317"/>
      <c r="H54" s="179"/>
      <c r="I54" s="317"/>
      <c r="J54" s="179"/>
      <c r="K54" s="317"/>
      <c r="L54" s="179"/>
      <c r="M54" s="317"/>
      <c r="N54" s="179"/>
      <c r="O54" s="317"/>
      <c r="P54" s="179"/>
      <c r="Q54" s="179"/>
      <c r="R54" s="179"/>
      <c r="S54" s="179"/>
      <c r="T54" s="179"/>
      <c r="U54" s="180"/>
    </row>
    <row r="55" spans="1:21" ht="31">
      <c r="A55" s="195" t="s">
        <v>95</v>
      </c>
      <c r="B55" s="199">
        <f>4.815-1.351</f>
        <v>3.4640000000000004</v>
      </c>
      <c r="C55" s="313">
        <v>1.3509875022221272</v>
      </c>
      <c r="D55" s="192">
        <v>3.6070000000000002</v>
      </c>
      <c r="E55" s="313"/>
      <c r="F55" s="192">
        <v>-0.69899999999999995</v>
      </c>
      <c r="G55" s="313"/>
      <c r="H55" s="192">
        <v>2.5880000000000001</v>
      </c>
      <c r="I55" s="313"/>
      <c r="J55" s="199">
        <f>1.23+1.351</f>
        <v>2.581</v>
      </c>
      <c r="K55" s="313"/>
      <c r="L55" s="192">
        <v>1.1559999999999999</v>
      </c>
      <c r="M55" s="313"/>
      <c r="N55" s="192">
        <v>0.20499999999999999</v>
      </c>
      <c r="O55" s="313"/>
      <c r="P55" s="179"/>
      <c r="Q55" s="179"/>
      <c r="R55" s="179"/>
      <c r="S55" s="179"/>
      <c r="T55" s="179"/>
      <c r="U55" s="314">
        <f t="shared" ref="U55:U61" si="4">B55+D55+F55+H55+J55+L55+N55+P55+Q55+R55+S55+T55</f>
        <v>12.902000000000001</v>
      </c>
    </row>
    <row r="56" spans="1:21" ht="31">
      <c r="A56" s="195" t="s">
        <v>100</v>
      </c>
      <c r="B56" s="179"/>
      <c r="C56" s="317"/>
      <c r="D56" s="179"/>
      <c r="E56" s="317"/>
      <c r="F56" s="179"/>
      <c r="G56" s="317"/>
      <c r="H56" s="179"/>
      <c r="I56" s="317"/>
      <c r="J56" s="179"/>
      <c r="K56" s="317"/>
      <c r="L56" s="179"/>
      <c r="M56" s="317"/>
      <c r="N56" s="179"/>
      <c r="O56" s="317"/>
      <c r="P56" s="179"/>
      <c r="Q56" s="179"/>
      <c r="R56" s="179"/>
      <c r="S56" s="179"/>
      <c r="T56" s="192">
        <v>5.6000000000000001E-2</v>
      </c>
      <c r="U56" s="314">
        <f t="shared" si="4"/>
        <v>5.6000000000000001E-2</v>
      </c>
    </row>
    <row r="57" spans="1:21" ht="31">
      <c r="A57" s="195" t="s">
        <v>98</v>
      </c>
      <c r="B57" s="179"/>
      <c r="C57" s="317"/>
      <c r="D57" s="179"/>
      <c r="E57" s="317"/>
      <c r="F57" s="179"/>
      <c r="G57" s="317"/>
      <c r="H57" s="179"/>
      <c r="I57" s="317"/>
      <c r="J57" s="179"/>
      <c r="K57" s="317"/>
      <c r="L57" s="179"/>
      <c r="M57" s="317"/>
      <c r="N57" s="179"/>
      <c r="O57" s="317"/>
      <c r="P57" s="179"/>
      <c r="Q57" s="179"/>
      <c r="R57" s="179"/>
      <c r="S57" s="179"/>
      <c r="T57" s="192">
        <v>1.0209999999999999</v>
      </c>
      <c r="U57" s="314">
        <f t="shared" si="4"/>
        <v>1.0209999999999999</v>
      </c>
    </row>
    <row r="58" spans="1:21" ht="31">
      <c r="A58" s="195" t="s">
        <v>97</v>
      </c>
      <c r="B58" s="179"/>
      <c r="C58" s="317"/>
      <c r="D58" s="179"/>
      <c r="E58" s="317"/>
      <c r="F58" s="179"/>
      <c r="G58" s="317"/>
      <c r="H58" s="179"/>
      <c r="I58" s="317"/>
      <c r="J58" s="179"/>
      <c r="K58" s="317"/>
      <c r="L58" s="179"/>
      <c r="M58" s="317"/>
      <c r="N58" s="179"/>
      <c r="O58" s="317"/>
      <c r="P58" s="179"/>
      <c r="Q58" s="179"/>
      <c r="R58" s="179"/>
      <c r="S58" s="179"/>
      <c r="T58" s="192">
        <v>-0.42899999999999999</v>
      </c>
      <c r="U58" s="314">
        <f t="shared" si="4"/>
        <v>-0.42899999999999999</v>
      </c>
    </row>
    <row r="59" spans="1:21" ht="31">
      <c r="A59" s="195" t="s">
        <v>96</v>
      </c>
      <c r="B59" s="319">
        <f>0.195760304855152-0.184</f>
        <v>1.1760304855152004E-2</v>
      </c>
      <c r="C59" s="320">
        <v>0.18391897513940489</v>
      </c>
      <c r="D59" s="280">
        <v>0.52405795220130902</v>
      </c>
      <c r="E59" s="320"/>
      <c r="F59" s="280">
        <v>0</v>
      </c>
      <c r="G59" s="320"/>
      <c r="H59" s="280">
        <v>0.39106018068787057</v>
      </c>
      <c r="I59" s="320"/>
      <c r="J59" s="319">
        <f>0.254402802912154+0.184</f>
        <v>0.438402802912154</v>
      </c>
      <c r="K59" s="320"/>
      <c r="L59" s="280">
        <v>7.7049040524380566E-2</v>
      </c>
      <c r="M59" s="320"/>
      <c r="N59" s="280">
        <v>4.3669718819134104E-2</v>
      </c>
      <c r="O59" s="320"/>
      <c r="P59" s="179"/>
      <c r="Q59" s="179"/>
      <c r="R59" s="179"/>
      <c r="S59" s="179"/>
      <c r="T59" s="179"/>
      <c r="U59" s="314">
        <f t="shared" si="4"/>
        <v>1.4860000000000004</v>
      </c>
    </row>
    <row r="60" spans="1:21" ht="31">
      <c r="A60" s="318" t="s">
        <v>333</v>
      </c>
      <c r="B60" s="179">
        <f>SUM(B52:B59)</f>
        <v>17.479120490404739</v>
      </c>
      <c r="C60" s="317">
        <f t="shared" ref="C60:T60" si="5">SUM(C52:C59)</f>
        <v>7.5778117802436773</v>
      </c>
      <c r="D60" s="179">
        <f t="shared" si="5"/>
        <v>25.963905082566981</v>
      </c>
      <c r="E60" s="317">
        <f t="shared" si="5"/>
        <v>1.9539127863856531E-2</v>
      </c>
      <c r="F60" s="179">
        <f t="shared" si="5"/>
        <v>27.366</v>
      </c>
      <c r="G60" s="317">
        <f t="shared" si="5"/>
        <v>0</v>
      </c>
      <c r="H60" s="179">
        <f t="shared" si="5"/>
        <v>15.758769593143365</v>
      </c>
      <c r="I60" s="317">
        <f t="shared" si="5"/>
        <v>0.50367205885706157</v>
      </c>
      <c r="J60" s="179">
        <f t="shared" si="5"/>
        <v>23.852764801441324</v>
      </c>
      <c r="K60" s="317">
        <f t="shared" si="5"/>
        <v>0.16630296611699324</v>
      </c>
      <c r="L60" s="179">
        <f t="shared" si="5"/>
        <v>16.2712121239901</v>
      </c>
      <c r="M60" s="317">
        <f t="shared" si="5"/>
        <v>1.0174702468501939E-2</v>
      </c>
      <c r="N60" s="179">
        <f t="shared" si="5"/>
        <v>3.1006997459277805</v>
      </c>
      <c r="O60" s="317">
        <f t="shared" si="5"/>
        <v>6.0662489791641905E-3</v>
      </c>
      <c r="P60" s="179">
        <f t="shared" si="5"/>
        <v>3.1969999999999996</v>
      </c>
      <c r="Q60" s="179">
        <f t="shared" si="5"/>
        <v>0.57399999999999984</v>
      </c>
      <c r="R60" s="179">
        <f t="shared" si="5"/>
        <v>0.90400000000000003</v>
      </c>
      <c r="S60" s="179">
        <f t="shared" si="5"/>
        <v>0.17200000000000001</v>
      </c>
      <c r="T60" s="179">
        <f t="shared" si="5"/>
        <v>16.080999999999996</v>
      </c>
      <c r="U60" s="314">
        <f>B60+D60+F60+H60+J60+L60+N60+P60+Q60+R60+S60+T60</f>
        <v>150.72047183747429</v>
      </c>
    </row>
    <row r="61" spans="1:21">
      <c r="A61" s="195" t="s">
        <v>217</v>
      </c>
      <c r="B61" s="372"/>
      <c r="C61" s="320"/>
      <c r="D61" s="280"/>
      <c r="E61" s="320"/>
      <c r="F61" s="280"/>
      <c r="G61" s="320"/>
      <c r="H61" s="280"/>
      <c r="I61" s="320"/>
      <c r="J61" s="372"/>
      <c r="K61" s="320"/>
      <c r="L61" s="280"/>
      <c r="M61" s="320"/>
      <c r="N61" s="280"/>
      <c r="O61" s="320"/>
      <c r="P61" s="179"/>
      <c r="Q61" s="179"/>
      <c r="R61" s="179"/>
      <c r="S61" s="179"/>
      <c r="T61" s="192">
        <v>0.6</v>
      </c>
      <c r="U61" s="314">
        <f t="shared" si="4"/>
        <v>0.6</v>
      </c>
    </row>
    <row r="62" spans="1:21">
      <c r="A62" s="318" t="s">
        <v>250</v>
      </c>
      <c r="B62" s="179">
        <f>SUM(B60:B61)</f>
        <v>17.479120490404739</v>
      </c>
      <c r="C62" s="317">
        <f t="shared" ref="C62:T62" si="6">SUM(C60:C61)</f>
        <v>7.5778117802436773</v>
      </c>
      <c r="D62" s="179">
        <f t="shared" si="6"/>
        <v>25.963905082566981</v>
      </c>
      <c r="E62" s="317">
        <f t="shared" si="6"/>
        <v>1.9539127863856531E-2</v>
      </c>
      <c r="F62" s="179">
        <f t="shared" si="6"/>
        <v>27.366</v>
      </c>
      <c r="G62" s="317">
        <f t="shared" si="6"/>
        <v>0</v>
      </c>
      <c r="H62" s="179">
        <f t="shared" si="6"/>
        <v>15.758769593143365</v>
      </c>
      <c r="I62" s="317">
        <f t="shared" si="6"/>
        <v>0.50367205885706157</v>
      </c>
      <c r="J62" s="179">
        <f t="shared" si="6"/>
        <v>23.852764801441324</v>
      </c>
      <c r="K62" s="317">
        <f t="shared" si="6"/>
        <v>0.16630296611699324</v>
      </c>
      <c r="L62" s="179">
        <f t="shared" si="6"/>
        <v>16.2712121239901</v>
      </c>
      <c r="M62" s="317">
        <f t="shared" si="6"/>
        <v>1.0174702468501939E-2</v>
      </c>
      <c r="N62" s="179">
        <f t="shared" si="6"/>
        <v>3.1006997459277805</v>
      </c>
      <c r="O62" s="317">
        <f t="shared" si="6"/>
        <v>6.0662489791641905E-3</v>
      </c>
      <c r="P62" s="179">
        <f t="shared" si="6"/>
        <v>3.1969999999999996</v>
      </c>
      <c r="Q62" s="179">
        <f t="shared" si="6"/>
        <v>0.57399999999999984</v>
      </c>
      <c r="R62" s="179">
        <f t="shared" si="6"/>
        <v>0.90400000000000003</v>
      </c>
      <c r="S62" s="179">
        <f t="shared" si="6"/>
        <v>0.17200000000000001</v>
      </c>
      <c r="T62" s="179">
        <f t="shared" si="6"/>
        <v>16.680999999999997</v>
      </c>
      <c r="U62" s="314">
        <f>B62+D62+F62+H62+J62+L62+N62+P62+Q62+R62+S62+T62</f>
        <v>151.32047183747432</v>
      </c>
    </row>
    <row r="63" spans="1:21">
      <c r="A63" s="318"/>
      <c r="B63" s="179"/>
      <c r="C63" s="317"/>
      <c r="D63" s="179"/>
      <c r="E63" s="317"/>
      <c r="F63" s="179"/>
      <c r="G63" s="317"/>
      <c r="H63" s="179"/>
      <c r="I63" s="317"/>
      <c r="J63" s="179"/>
      <c r="K63" s="317"/>
      <c r="L63" s="179"/>
      <c r="M63" s="317"/>
      <c r="N63" s="179"/>
      <c r="O63" s="317"/>
      <c r="P63" s="179"/>
      <c r="Q63" s="179"/>
      <c r="R63" s="179"/>
      <c r="S63" s="179"/>
      <c r="T63" s="179"/>
      <c r="U63" s="314"/>
    </row>
    <row r="64" spans="1:21">
      <c r="A64" s="178"/>
      <c r="B64" s="179"/>
      <c r="C64" s="317"/>
      <c r="D64" s="179"/>
      <c r="E64" s="317"/>
      <c r="F64" s="179"/>
      <c r="G64" s="317"/>
      <c r="H64" s="179"/>
      <c r="I64" s="317"/>
      <c r="J64" s="179"/>
      <c r="K64" s="317"/>
      <c r="L64" s="179"/>
      <c r="M64" s="317"/>
      <c r="N64" s="179"/>
      <c r="O64" s="317"/>
      <c r="P64" s="179"/>
      <c r="Q64" s="179"/>
      <c r="R64" s="179"/>
      <c r="S64" s="179"/>
      <c r="T64" s="179"/>
      <c r="U64" s="180"/>
    </row>
    <row r="65" spans="1:21">
      <c r="A65" s="174" t="s">
        <v>82</v>
      </c>
      <c r="B65" s="192"/>
      <c r="C65" s="313"/>
      <c r="D65" s="192"/>
      <c r="E65" s="313"/>
      <c r="F65" s="192"/>
      <c r="G65" s="313"/>
      <c r="H65" s="192"/>
      <c r="I65" s="313"/>
      <c r="J65" s="192"/>
      <c r="K65" s="313"/>
      <c r="L65" s="192"/>
      <c r="M65" s="313"/>
      <c r="N65" s="192"/>
      <c r="O65" s="313"/>
      <c r="P65" s="192"/>
      <c r="Q65" s="192"/>
      <c r="R65" s="192"/>
      <c r="S65" s="192"/>
      <c r="T65" s="192"/>
      <c r="U65" s="314">
        <f t="shared" ref="U65:U91" si="7">B65+D65+F65+H65+J65+L65+N65+P65+Q65+R65+S65+T65</f>
        <v>0</v>
      </c>
    </row>
    <row r="66" spans="1:21">
      <c r="A66" s="194" t="s">
        <v>64</v>
      </c>
      <c r="B66" s="199">
        <f>2.419-0.711</f>
        <v>1.7080000000000002</v>
      </c>
      <c r="C66" s="313">
        <v>0.71106504999999998</v>
      </c>
      <c r="D66" s="199">
        <f>0.211-0.076</f>
        <v>0.13500000000000001</v>
      </c>
      <c r="E66" s="313">
        <v>7.6347332949513486E-2</v>
      </c>
      <c r="F66" s="192">
        <v>2.1000000000000001E-2</v>
      </c>
      <c r="G66" s="313">
        <v>0</v>
      </c>
      <c r="H66" s="199">
        <f>0.168-0.098</f>
        <v>7.0000000000000007E-2</v>
      </c>
      <c r="I66" s="313">
        <v>9.8280000000000006E-2</v>
      </c>
      <c r="J66" s="199">
        <f>0.165-0.133</f>
        <v>3.2000000000000001E-2</v>
      </c>
      <c r="K66" s="313">
        <v>0.13320383208399947</v>
      </c>
      <c r="L66" s="199">
        <f>1.265-0.015</f>
        <v>1.25</v>
      </c>
      <c r="M66" s="313">
        <v>1.537753718357826E-2</v>
      </c>
      <c r="N66" s="199">
        <f>0.096-0.002</f>
        <v>9.4E-2</v>
      </c>
      <c r="O66" s="313">
        <v>2.1649066988838617E-3</v>
      </c>
      <c r="P66" s="192"/>
      <c r="Q66" s="192"/>
      <c r="R66" s="192"/>
      <c r="S66" s="192"/>
      <c r="T66" s="192"/>
      <c r="U66" s="314">
        <f t="shared" si="7"/>
        <v>3.31</v>
      </c>
    </row>
    <row r="67" spans="1:21">
      <c r="A67" s="194" t="s">
        <v>65</v>
      </c>
      <c r="B67" s="192">
        <v>0</v>
      </c>
      <c r="C67" s="313">
        <v>0</v>
      </c>
      <c r="D67" s="192">
        <v>0</v>
      </c>
      <c r="E67" s="313"/>
      <c r="F67" s="192">
        <v>0</v>
      </c>
      <c r="G67" s="313"/>
      <c r="H67" s="192">
        <v>0</v>
      </c>
      <c r="I67" s="313"/>
      <c r="J67" s="192">
        <v>0</v>
      </c>
      <c r="K67" s="313"/>
      <c r="L67" s="192">
        <v>0</v>
      </c>
      <c r="M67" s="313"/>
      <c r="N67" s="192">
        <v>0</v>
      </c>
      <c r="O67" s="313"/>
      <c r="P67" s="192"/>
      <c r="Q67" s="192"/>
      <c r="R67" s="192"/>
      <c r="S67" s="192"/>
      <c r="T67" s="192"/>
      <c r="U67" s="314">
        <f t="shared" si="7"/>
        <v>0</v>
      </c>
    </row>
    <row r="68" spans="1:21">
      <c r="A68" s="194" t="s">
        <v>66</v>
      </c>
      <c r="B68" s="192">
        <v>0</v>
      </c>
      <c r="C68" s="313">
        <v>0</v>
      </c>
      <c r="D68" s="192">
        <v>0</v>
      </c>
      <c r="E68" s="313"/>
      <c r="F68" s="192">
        <v>0.44600000000000001</v>
      </c>
      <c r="G68" s="313"/>
      <c r="H68" s="192">
        <v>0</v>
      </c>
      <c r="I68" s="313"/>
      <c r="J68" s="192">
        <v>0</v>
      </c>
      <c r="K68" s="313"/>
      <c r="L68" s="192">
        <v>0</v>
      </c>
      <c r="M68" s="313"/>
      <c r="N68" s="192">
        <v>0</v>
      </c>
      <c r="O68" s="313"/>
      <c r="P68" s="192"/>
      <c r="Q68" s="192"/>
      <c r="R68" s="192"/>
      <c r="S68" s="192"/>
      <c r="T68" s="192"/>
      <c r="U68" s="314">
        <f t="shared" si="7"/>
        <v>0.44600000000000001</v>
      </c>
    </row>
    <row r="69" spans="1:21">
      <c r="A69" s="194" t="s">
        <v>67</v>
      </c>
      <c r="B69" s="199">
        <f>0.479-0.141</f>
        <v>0.33799999999999997</v>
      </c>
      <c r="C69" s="313">
        <v>0.14080204999999998</v>
      </c>
      <c r="D69" s="192">
        <v>1.337</v>
      </c>
      <c r="E69" s="313"/>
      <c r="F69" s="192">
        <v>5.7000000000000002E-2</v>
      </c>
      <c r="G69" s="313"/>
      <c r="H69" s="315">
        <f>1.675</f>
        <v>1.675</v>
      </c>
      <c r="I69" s="313"/>
      <c r="J69" s="199">
        <f>0.734+0.141</f>
        <v>0.875</v>
      </c>
      <c r="K69" s="313"/>
      <c r="L69" s="192">
        <v>0.254</v>
      </c>
      <c r="M69" s="313"/>
      <c r="N69" s="192">
        <v>9.2999999999999999E-2</v>
      </c>
      <c r="O69" s="313"/>
      <c r="P69" s="192"/>
      <c r="Q69" s="192"/>
      <c r="R69" s="192"/>
      <c r="S69" s="192"/>
      <c r="T69" s="192"/>
      <c r="U69" s="314">
        <f t="shared" si="7"/>
        <v>4.6289999999999996</v>
      </c>
    </row>
    <row r="70" spans="1:21">
      <c r="A70" s="194" t="s">
        <v>68</v>
      </c>
      <c r="B70" s="192">
        <v>0</v>
      </c>
      <c r="C70" s="313">
        <v>0</v>
      </c>
      <c r="D70" s="199">
        <v>7.5999999999999998E-2</v>
      </c>
      <c r="E70" s="313"/>
      <c r="F70" s="192">
        <v>0</v>
      </c>
      <c r="G70" s="313"/>
      <c r="H70" s="199">
        <f>0.098</f>
        <v>9.8000000000000004E-2</v>
      </c>
      <c r="I70" s="313"/>
      <c r="J70" s="199">
        <f>0.711+0.133</f>
        <v>0.84399999999999997</v>
      </c>
      <c r="K70" s="313"/>
      <c r="L70" s="199">
        <v>1.4999999999999999E-2</v>
      </c>
      <c r="M70" s="313"/>
      <c r="N70" s="199">
        <v>2E-3</v>
      </c>
      <c r="O70" s="313"/>
      <c r="P70" s="192"/>
      <c r="Q70" s="192"/>
      <c r="R70" s="192"/>
      <c r="S70" s="192"/>
      <c r="T70" s="192"/>
      <c r="U70" s="314">
        <f t="shared" si="7"/>
        <v>1.0349999999999999</v>
      </c>
    </row>
    <row r="71" spans="1:21">
      <c r="A71" s="194" t="s">
        <v>69</v>
      </c>
      <c r="B71" s="192">
        <v>0</v>
      </c>
      <c r="C71" s="313">
        <v>0</v>
      </c>
      <c r="D71" s="192">
        <v>0</v>
      </c>
      <c r="E71" s="313"/>
      <c r="F71" s="192">
        <v>0</v>
      </c>
      <c r="G71" s="313"/>
      <c r="H71" s="192">
        <v>0</v>
      </c>
      <c r="I71" s="313"/>
      <c r="J71" s="192">
        <v>0</v>
      </c>
      <c r="K71" s="313"/>
      <c r="L71" s="192">
        <v>9.9000000000000005E-2</v>
      </c>
      <c r="M71" s="313"/>
      <c r="N71" s="192">
        <v>0</v>
      </c>
      <c r="O71" s="313"/>
      <c r="P71" s="192"/>
      <c r="Q71" s="192"/>
      <c r="R71" s="192"/>
      <c r="S71" s="192"/>
      <c r="T71" s="192"/>
      <c r="U71" s="314">
        <f t="shared" si="7"/>
        <v>9.9000000000000005E-2</v>
      </c>
    </row>
    <row r="72" spans="1:21">
      <c r="A72" s="194" t="s">
        <v>70</v>
      </c>
      <c r="B72" s="192">
        <v>0</v>
      </c>
      <c r="C72" s="313">
        <v>0</v>
      </c>
      <c r="D72" s="192">
        <v>0</v>
      </c>
      <c r="E72" s="313"/>
      <c r="F72" s="192">
        <v>0</v>
      </c>
      <c r="G72" s="313"/>
      <c r="H72" s="192">
        <v>0</v>
      </c>
      <c r="I72" s="313"/>
      <c r="J72" s="192">
        <v>0</v>
      </c>
      <c r="K72" s="313"/>
      <c r="L72" s="192">
        <v>0</v>
      </c>
      <c r="M72" s="313"/>
      <c r="N72" s="192">
        <v>0</v>
      </c>
      <c r="O72" s="313"/>
      <c r="P72" s="192"/>
      <c r="Q72" s="192"/>
      <c r="R72" s="192"/>
      <c r="S72" s="192"/>
      <c r="T72" s="192"/>
      <c r="U72" s="314">
        <f t="shared" si="7"/>
        <v>0</v>
      </c>
    </row>
    <row r="73" spans="1:21">
      <c r="A73" s="194" t="s">
        <v>77</v>
      </c>
      <c r="B73" s="199">
        <f>0.227-0.067</f>
        <v>0.16</v>
      </c>
      <c r="C73" s="313">
        <v>6.6726649999999998E-2</v>
      </c>
      <c r="D73" s="192">
        <v>0.36309999999999998</v>
      </c>
      <c r="E73" s="313"/>
      <c r="F73" s="192">
        <v>0</v>
      </c>
      <c r="G73" s="313"/>
      <c r="H73" s="192">
        <v>0.28790000000000004</v>
      </c>
      <c r="I73" s="313"/>
      <c r="J73" s="199">
        <f>0.1867+0.067</f>
        <v>0.25370000000000004</v>
      </c>
      <c r="K73" s="313"/>
      <c r="L73" s="192">
        <v>0.1305</v>
      </c>
      <c r="M73" s="313"/>
      <c r="N73" s="192">
        <v>5.3599999999999995E-2</v>
      </c>
      <c r="O73" s="313"/>
      <c r="P73" s="192"/>
      <c r="Q73" s="192"/>
      <c r="R73" s="192"/>
      <c r="S73" s="192"/>
      <c r="T73" s="192"/>
      <c r="U73" s="314">
        <f t="shared" si="7"/>
        <v>1.2488000000000004</v>
      </c>
    </row>
    <row r="74" spans="1:21">
      <c r="A74" s="194" t="s">
        <v>78</v>
      </c>
      <c r="B74" s="199">
        <f>1.728-0.508</f>
        <v>1.22</v>
      </c>
      <c r="C74" s="313">
        <v>0.50794559999999989</v>
      </c>
      <c r="D74" s="192">
        <v>2.0579999999999998</v>
      </c>
      <c r="E74" s="313"/>
      <c r="F74" s="192">
        <v>3.177</v>
      </c>
      <c r="G74" s="313"/>
      <c r="H74" s="192">
        <v>1.476</v>
      </c>
      <c r="I74" s="313"/>
      <c r="J74" s="199">
        <f>1.119+0.508</f>
        <v>1.627</v>
      </c>
      <c r="K74" s="313"/>
      <c r="L74" s="192">
        <v>1.6920000000000002</v>
      </c>
      <c r="M74" s="313"/>
      <c r="N74" s="192">
        <v>0.91399999999999992</v>
      </c>
      <c r="O74" s="313"/>
      <c r="P74" s="192"/>
      <c r="Q74" s="192"/>
      <c r="R74" s="192"/>
      <c r="S74" s="192"/>
      <c r="T74" s="192"/>
      <c r="U74" s="314">
        <f t="shared" si="7"/>
        <v>12.164</v>
      </c>
    </row>
    <row r="75" spans="1:21">
      <c r="A75" s="194" t="s">
        <v>79</v>
      </c>
      <c r="B75" s="192">
        <v>0</v>
      </c>
      <c r="C75" s="313">
        <v>0</v>
      </c>
      <c r="D75" s="192">
        <v>0</v>
      </c>
      <c r="E75" s="313"/>
      <c r="F75" s="192">
        <v>0</v>
      </c>
      <c r="G75" s="313"/>
      <c r="H75" s="192">
        <v>0</v>
      </c>
      <c r="I75" s="313"/>
      <c r="J75" s="192">
        <v>0</v>
      </c>
      <c r="K75" s="313"/>
      <c r="L75" s="192">
        <v>0</v>
      </c>
      <c r="M75" s="313"/>
      <c r="N75" s="192">
        <v>0</v>
      </c>
      <c r="O75" s="313"/>
      <c r="P75" s="192"/>
      <c r="Q75" s="192"/>
      <c r="R75" s="192"/>
      <c r="S75" s="192"/>
      <c r="T75" s="192"/>
      <c r="U75" s="314">
        <f t="shared" si="7"/>
        <v>0</v>
      </c>
    </row>
    <row r="76" spans="1:21">
      <c r="A76" s="178" t="s">
        <v>329</v>
      </c>
      <c r="B76" s="179">
        <f>SUM(B66:B75)</f>
        <v>3.4260000000000002</v>
      </c>
      <c r="C76" s="317">
        <f t="shared" ref="C76:T76" si="8">SUM(C66:C75)</f>
        <v>1.4265393499999999</v>
      </c>
      <c r="D76" s="179">
        <f t="shared" si="8"/>
        <v>3.9691000000000001</v>
      </c>
      <c r="E76" s="317">
        <f t="shared" si="8"/>
        <v>7.6347332949513486E-2</v>
      </c>
      <c r="F76" s="179">
        <f t="shared" si="8"/>
        <v>3.7010000000000001</v>
      </c>
      <c r="G76" s="317">
        <f t="shared" si="8"/>
        <v>0</v>
      </c>
      <c r="H76" s="179">
        <f t="shared" si="8"/>
        <v>3.6069000000000004</v>
      </c>
      <c r="I76" s="317">
        <f t="shared" si="8"/>
        <v>9.8280000000000006E-2</v>
      </c>
      <c r="J76" s="179">
        <f t="shared" si="8"/>
        <v>3.6316999999999995</v>
      </c>
      <c r="K76" s="317">
        <f t="shared" si="8"/>
        <v>0.13320383208399947</v>
      </c>
      <c r="L76" s="179">
        <f t="shared" si="8"/>
        <v>3.4405000000000001</v>
      </c>
      <c r="M76" s="317">
        <f t="shared" si="8"/>
        <v>1.537753718357826E-2</v>
      </c>
      <c r="N76" s="179">
        <f t="shared" si="8"/>
        <v>1.1565999999999999</v>
      </c>
      <c r="O76" s="317">
        <f t="shared" si="8"/>
        <v>2.1649066988838617E-3</v>
      </c>
      <c r="P76" s="179">
        <f t="shared" si="8"/>
        <v>0</v>
      </c>
      <c r="Q76" s="179">
        <f t="shared" si="8"/>
        <v>0</v>
      </c>
      <c r="R76" s="179">
        <f t="shared" si="8"/>
        <v>0</v>
      </c>
      <c r="S76" s="179">
        <f t="shared" si="8"/>
        <v>0</v>
      </c>
      <c r="T76" s="179">
        <f t="shared" si="8"/>
        <v>0</v>
      </c>
      <c r="U76" s="314">
        <f t="shared" si="7"/>
        <v>22.931799999999999</v>
      </c>
    </row>
    <row r="77" spans="1:21">
      <c r="A77" s="178" t="s">
        <v>90</v>
      </c>
      <c r="B77" s="192"/>
      <c r="C77" s="313"/>
      <c r="D77" s="192"/>
      <c r="E77" s="313"/>
      <c r="F77" s="192"/>
      <c r="G77" s="313"/>
      <c r="H77" s="192"/>
      <c r="I77" s="313"/>
      <c r="J77" s="192"/>
      <c r="K77" s="313"/>
      <c r="L77" s="192"/>
      <c r="M77" s="313"/>
      <c r="N77" s="192"/>
      <c r="O77" s="313"/>
      <c r="P77" s="192"/>
      <c r="Q77" s="192"/>
      <c r="R77" s="192"/>
      <c r="S77" s="192"/>
      <c r="T77" s="192"/>
      <c r="U77" s="314">
        <f t="shared" si="7"/>
        <v>0</v>
      </c>
    </row>
    <row r="78" spans="1:21">
      <c r="A78" s="194" t="s">
        <v>89</v>
      </c>
      <c r="B78" s="199">
        <f>0.015482-0.004</f>
        <v>1.1481999999999999E-2</v>
      </c>
      <c r="C78" s="313">
        <v>4.3379344030422713E-3</v>
      </c>
      <c r="D78" s="192">
        <v>6.9154999999999994E-2</v>
      </c>
      <c r="E78" s="313"/>
      <c r="F78" s="192">
        <v>0</v>
      </c>
      <c r="G78" s="313"/>
      <c r="H78" s="192">
        <v>4.9888000000000002E-2</v>
      </c>
      <c r="I78" s="313"/>
      <c r="J78" s="199">
        <f>0.030964+0.004</f>
        <v>3.4963999999999995E-2</v>
      </c>
      <c r="K78" s="313"/>
      <c r="L78" s="192">
        <v>3.784E-3</v>
      </c>
      <c r="M78" s="313"/>
      <c r="N78" s="192">
        <v>3.784E-3</v>
      </c>
      <c r="O78" s="313"/>
      <c r="P78" s="192"/>
      <c r="Q78" s="192"/>
      <c r="R78" s="192"/>
      <c r="S78" s="192"/>
      <c r="T78" s="192"/>
      <c r="U78" s="314">
        <f t="shared" si="7"/>
        <v>0.17305700000000002</v>
      </c>
    </row>
    <row r="79" spans="1:21" ht="31">
      <c r="A79" s="195" t="s">
        <v>83</v>
      </c>
      <c r="B79" s="199">
        <f>-0.00482571898439694+0.001</f>
        <v>-3.8257189843969404E-3</v>
      </c>
      <c r="C79" s="313">
        <v>-1.3521284331371706E-3</v>
      </c>
      <c r="D79" s="192">
        <v>-7.7190245076410886E-3</v>
      </c>
      <c r="E79" s="313"/>
      <c r="F79" s="192">
        <v>0</v>
      </c>
      <c r="G79" s="313"/>
      <c r="H79" s="192">
        <v>-6.12037222734748E-3</v>
      </c>
      <c r="I79" s="313"/>
      <c r="J79" s="199">
        <f>-0.00396899442461193-0.001</f>
        <v>-4.9689944246119298E-3</v>
      </c>
      <c r="K79" s="313"/>
      <c r="L79" s="192">
        <v>-2.7742569491797358E-3</v>
      </c>
      <c r="M79" s="313"/>
      <c r="N79" s="192">
        <v>-1.1394649231879987E-3</v>
      </c>
      <c r="O79" s="313"/>
      <c r="P79" s="192"/>
      <c r="Q79" s="192"/>
      <c r="R79" s="192"/>
      <c r="S79" s="192"/>
      <c r="T79" s="192"/>
      <c r="U79" s="314">
        <f t="shared" si="7"/>
        <v>-2.6547832016365173E-2</v>
      </c>
    </row>
    <row r="80" spans="1:21" ht="31">
      <c r="A80" s="195" t="s">
        <v>84</v>
      </c>
      <c r="B80" s="199">
        <f>0.0142058533377179-0.004</f>
        <v>1.02058533377179E-2</v>
      </c>
      <c r="C80" s="313">
        <v>3.980368164207413E-3</v>
      </c>
      <c r="D80" s="192">
        <v>1.6918776718184807E-2</v>
      </c>
      <c r="E80" s="313"/>
      <c r="F80" s="192">
        <v>2.6118053271950017E-2</v>
      </c>
      <c r="G80" s="313"/>
      <c r="H80" s="192">
        <v>1.2134166392634003E-2</v>
      </c>
      <c r="I80" s="313"/>
      <c r="J80" s="199">
        <f>0.00919927655376521+0.004</f>
        <v>1.319927655376521E-2</v>
      </c>
      <c r="K80" s="313"/>
      <c r="L80" s="192">
        <v>1.3909898059848736E-2</v>
      </c>
      <c r="M80" s="313"/>
      <c r="N80" s="192">
        <v>7.5139756658993756E-3</v>
      </c>
      <c r="O80" s="313"/>
      <c r="P80" s="192"/>
      <c r="Q80" s="192"/>
      <c r="R80" s="192"/>
      <c r="S80" s="192"/>
      <c r="T80" s="192"/>
      <c r="U80" s="314">
        <f t="shared" si="7"/>
        <v>0.10000000000000005</v>
      </c>
    </row>
    <row r="81" spans="1:21" ht="31">
      <c r="A81" s="318" t="s">
        <v>330</v>
      </c>
      <c r="B81" s="179">
        <f>SUM(B76:B80)</f>
        <v>3.4438621343533211</v>
      </c>
      <c r="C81" s="317">
        <f t="shared" ref="C81:T81" si="9">SUM(C76:C80)</f>
        <v>1.4335055241341124</v>
      </c>
      <c r="D81" s="179">
        <f t="shared" si="9"/>
        <v>4.0474547522105437</v>
      </c>
      <c r="E81" s="317">
        <f t="shared" si="9"/>
        <v>7.6347332949513486E-2</v>
      </c>
      <c r="F81" s="179">
        <f t="shared" si="9"/>
        <v>3.7271180532719499</v>
      </c>
      <c r="G81" s="317">
        <f t="shared" si="9"/>
        <v>0</v>
      </c>
      <c r="H81" s="179">
        <f t="shared" si="9"/>
        <v>3.6628017941652873</v>
      </c>
      <c r="I81" s="317">
        <f t="shared" si="9"/>
        <v>9.8280000000000006E-2</v>
      </c>
      <c r="J81" s="179">
        <f t="shared" si="9"/>
        <v>3.674894282129153</v>
      </c>
      <c r="K81" s="317">
        <f t="shared" si="9"/>
        <v>0.13320383208399947</v>
      </c>
      <c r="L81" s="179">
        <f t="shared" si="9"/>
        <v>3.455419641110669</v>
      </c>
      <c r="M81" s="317">
        <f t="shared" si="9"/>
        <v>1.537753718357826E-2</v>
      </c>
      <c r="N81" s="179">
        <f t="shared" si="9"/>
        <v>1.1667585107427112</v>
      </c>
      <c r="O81" s="317">
        <f t="shared" si="9"/>
        <v>2.1649066988838617E-3</v>
      </c>
      <c r="P81" s="179">
        <f t="shared" si="9"/>
        <v>0</v>
      </c>
      <c r="Q81" s="179">
        <f t="shared" si="9"/>
        <v>0</v>
      </c>
      <c r="R81" s="179">
        <f t="shared" si="9"/>
        <v>0</v>
      </c>
      <c r="S81" s="179">
        <f t="shared" si="9"/>
        <v>0</v>
      </c>
      <c r="T81" s="179">
        <f t="shared" si="9"/>
        <v>0</v>
      </c>
      <c r="U81" s="314">
        <f t="shared" si="7"/>
        <v>23.178309167983635</v>
      </c>
    </row>
    <row r="82" spans="1:21">
      <c r="A82" s="178" t="s">
        <v>94</v>
      </c>
      <c r="B82" s="179"/>
      <c r="C82" s="317"/>
      <c r="D82" s="179"/>
      <c r="E82" s="317"/>
      <c r="F82" s="179"/>
      <c r="G82" s="317"/>
      <c r="H82" s="179"/>
      <c r="I82" s="317"/>
      <c r="J82" s="179"/>
      <c r="K82" s="317"/>
      <c r="L82" s="179"/>
      <c r="M82" s="317"/>
      <c r="N82" s="179"/>
      <c r="O82" s="317"/>
      <c r="P82" s="179"/>
      <c r="Q82" s="179"/>
      <c r="R82" s="179"/>
      <c r="S82" s="179"/>
      <c r="T82" s="179"/>
      <c r="U82" s="314">
        <f t="shared" si="7"/>
        <v>0</v>
      </c>
    </row>
    <row r="83" spans="1:21" ht="31">
      <c r="A83" s="195" t="s">
        <v>99</v>
      </c>
      <c r="B83" s="199">
        <f>0.0659151594870108-0.018</f>
        <v>4.7915159487010792E-2</v>
      </c>
      <c r="C83" s="313">
        <v>1.8474295180684792E-2</v>
      </c>
      <c r="D83" s="192">
        <v>7.850312397237752E-2</v>
      </c>
      <c r="E83" s="313"/>
      <c r="F83" s="192">
        <v>0.12118776718184808</v>
      </c>
      <c r="G83" s="313"/>
      <c r="H83" s="192">
        <v>5.6302532061821772E-2</v>
      </c>
      <c r="I83" s="313"/>
      <c r="J83" s="199">
        <f>0.0426846432094706+0.018</f>
        <v>6.0684643209470604E-2</v>
      </c>
      <c r="K83" s="313"/>
      <c r="L83" s="192">
        <v>6.4541926997698132E-2</v>
      </c>
      <c r="M83" s="313"/>
      <c r="N83" s="192">
        <v>3.4864847089773103E-2</v>
      </c>
      <c r="O83" s="313"/>
      <c r="P83" s="179"/>
      <c r="Q83" s="179"/>
      <c r="R83" s="179"/>
      <c r="S83" s="179"/>
      <c r="T83" s="179"/>
      <c r="U83" s="314">
        <f t="shared" si="7"/>
        <v>0.46400000000000002</v>
      </c>
    </row>
    <row r="84" spans="1:21" ht="31">
      <c r="A84" s="318" t="s">
        <v>331</v>
      </c>
      <c r="B84" s="179">
        <f>SUM(B81:B83)</f>
        <v>3.491777293840332</v>
      </c>
      <c r="C84" s="317">
        <f t="shared" ref="C84:T84" si="10">SUM(C81:C83)</f>
        <v>1.4519798193147972</v>
      </c>
      <c r="D84" s="179">
        <f t="shared" si="10"/>
        <v>4.1259578761829214</v>
      </c>
      <c r="E84" s="317">
        <f t="shared" si="10"/>
        <v>7.6347332949513486E-2</v>
      </c>
      <c r="F84" s="179">
        <f t="shared" si="10"/>
        <v>3.8483058204537981</v>
      </c>
      <c r="G84" s="317">
        <f t="shared" si="10"/>
        <v>0</v>
      </c>
      <c r="H84" s="179">
        <f t="shared" si="10"/>
        <v>3.7191043262271091</v>
      </c>
      <c r="I84" s="317">
        <f t="shared" si="10"/>
        <v>9.8280000000000006E-2</v>
      </c>
      <c r="J84" s="179">
        <f t="shared" si="10"/>
        <v>3.7355789253386238</v>
      </c>
      <c r="K84" s="317">
        <f t="shared" si="10"/>
        <v>0.13320383208399947</v>
      </c>
      <c r="L84" s="179">
        <f t="shared" si="10"/>
        <v>3.5199615681083674</v>
      </c>
      <c r="M84" s="317">
        <f t="shared" si="10"/>
        <v>1.537753718357826E-2</v>
      </c>
      <c r="N84" s="179">
        <f t="shared" si="10"/>
        <v>1.2016233578324842</v>
      </c>
      <c r="O84" s="317">
        <f t="shared" si="10"/>
        <v>2.1649066988838617E-3</v>
      </c>
      <c r="P84" s="179">
        <f t="shared" si="10"/>
        <v>0</v>
      </c>
      <c r="Q84" s="179">
        <f t="shared" si="10"/>
        <v>0</v>
      </c>
      <c r="R84" s="179">
        <f t="shared" si="10"/>
        <v>0</v>
      </c>
      <c r="S84" s="179">
        <f t="shared" si="10"/>
        <v>0</v>
      </c>
      <c r="T84" s="179">
        <f t="shared" si="10"/>
        <v>0</v>
      </c>
      <c r="U84" s="314">
        <f t="shared" si="7"/>
        <v>23.642309167983637</v>
      </c>
    </row>
    <row r="85" spans="1:21">
      <c r="A85" s="178" t="s">
        <v>202</v>
      </c>
      <c r="B85" s="281"/>
      <c r="C85" s="317"/>
      <c r="D85" s="281"/>
      <c r="E85" s="317"/>
      <c r="F85" s="281"/>
      <c r="G85" s="317"/>
      <c r="H85" s="281"/>
      <c r="I85" s="317"/>
      <c r="J85" s="281"/>
      <c r="K85" s="317"/>
      <c r="L85" s="281"/>
      <c r="M85" s="317"/>
      <c r="N85" s="281"/>
      <c r="O85" s="317"/>
      <c r="P85" s="281"/>
      <c r="Q85" s="281"/>
      <c r="R85" s="281"/>
      <c r="S85" s="281"/>
      <c r="T85" s="281"/>
      <c r="U85" s="314">
        <f t="shared" si="7"/>
        <v>0</v>
      </c>
    </row>
    <row r="86" spans="1:21">
      <c r="A86" s="178" t="s">
        <v>201</v>
      </c>
      <c r="B86" s="279"/>
      <c r="C86" s="321"/>
      <c r="D86" s="279"/>
      <c r="E86" s="321"/>
      <c r="F86" s="279"/>
      <c r="G86" s="321"/>
      <c r="H86" s="279"/>
      <c r="I86" s="321"/>
      <c r="J86" s="279"/>
      <c r="K86" s="321"/>
      <c r="L86" s="279"/>
      <c r="M86" s="321"/>
      <c r="N86" s="279"/>
      <c r="O86" s="321"/>
      <c r="P86" s="279"/>
      <c r="Q86" s="279"/>
      <c r="R86" s="279"/>
      <c r="S86" s="279"/>
      <c r="T86" s="279"/>
      <c r="U86" s="314">
        <f t="shared" si="7"/>
        <v>0</v>
      </c>
    </row>
    <row r="87" spans="1:21" ht="31">
      <c r="A87" s="195" t="s">
        <v>99</v>
      </c>
      <c r="B87" s="504">
        <f>0.312812890496547-0.088</f>
        <v>0.22481289049654699</v>
      </c>
      <c r="C87" s="322">
        <v>8.7768703134956161E-2</v>
      </c>
      <c r="D87" s="505">
        <v>0.3725514633344294</v>
      </c>
      <c r="E87" s="322"/>
      <c r="F87" s="505">
        <v>0.57511953304833929</v>
      </c>
      <c r="G87" s="322"/>
      <c r="H87" s="505">
        <v>0.26719434396580077</v>
      </c>
      <c r="I87" s="322"/>
      <c r="J87" s="504">
        <f>0.20256806971391+0.088</f>
        <v>0.29056806971391003</v>
      </c>
      <c r="K87" s="322"/>
      <c r="L87" s="505">
        <v>0.30629595527786913</v>
      </c>
      <c r="M87" s="322"/>
      <c r="N87" s="505">
        <v>0.16545774416310424</v>
      </c>
      <c r="O87" s="323"/>
      <c r="P87" s="279"/>
      <c r="Q87" s="279"/>
      <c r="R87" s="279"/>
      <c r="S87" s="279"/>
      <c r="T87" s="279"/>
      <c r="U87" s="314">
        <f t="shared" si="7"/>
        <v>2.2020000000000004</v>
      </c>
    </row>
    <row r="88" spans="1:21" ht="31">
      <c r="A88" s="318" t="s">
        <v>333</v>
      </c>
      <c r="B88" s="179">
        <f>SUM(B84:B87)</f>
        <v>3.7165901843368792</v>
      </c>
      <c r="C88" s="317">
        <f t="shared" ref="C88:T88" si="11">SUM(C84:C87)</f>
        <v>1.5397485224497534</v>
      </c>
      <c r="D88" s="179">
        <f t="shared" si="11"/>
        <v>4.4985093395173505</v>
      </c>
      <c r="E88" s="317">
        <f t="shared" si="11"/>
        <v>7.6347332949513486E-2</v>
      </c>
      <c r="F88" s="179">
        <f t="shared" si="11"/>
        <v>4.4234253535021377</v>
      </c>
      <c r="G88" s="317">
        <f t="shared" si="11"/>
        <v>0</v>
      </c>
      <c r="H88" s="179">
        <f t="shared" si="11"/>
        <v>3.9862986701929097</v>
      </c>
      <c r="I88" s="317">
        <f t="shared" si="11"/>
        <v>9.8280000000000006E-2</v>
      </c>
      <c r="J88" s="179">
        <f t="shared" si="11"/>
        <v>4.0261469950525335</v>
      </c>
      <c r="K88" s="317">
        <f t="shared" si="11"/>
        <v>0.13320383208399947</v>
      </c>
      <c r="L88" s="179">
        <f t="shared" si="11"/>
        <v>3.8262575233862366</v>
      </c>
      <c r="M88" s="317">
        <f t="shared" si="11"/>
        <v>1.537753718357826E-2</v>
      </c>
      <c r="N88" s="179">
        <f t="shared" si="11"/>
        <v>1.3670811019955884</v>
      </c>
      <c r="O88" s="317">
        <f t="shared" si="11"/>
        <v>2.1649066988838617E-3</v>
      </c>
      <c r="P88" s="179">
        <f t="shared" si="11"/>
        <v>0</v>
      </c>
      <c r="Q88" s="179">
        <f t="shared" si="11"/>
        <v>0</v>
      </c>
      <c r="R88" s="179">
        <f t="shared" si="11"/>
        <v>0</v>
      </c>
      <c r="S88" s="179">
        <f t="shared" si="11"/>
        <v>0</v>
      </c>
      <c r="T88" s="179">
        <f t="shared" si="11"/>
        <v>0</v>
      </c>
      <c r="U88" s="314">
        <f t="shared" si="7"/>
        <v>25.844309167983635</v>
      </c>
    </row>
    <row r="89" spans="1:21">
      <c r="A89" s="178" t="s">
        <v>251</v>
      </c>
      <c r="B89" s="279"/>
      <c r="C89" s="321"/>
      <c r="D89" s="279"/>
      <c r="E89" s="321"/>
      <c r="F89" s="279"/>
      <c r="G89" s="321"/>
      <c r="H89" s="279"/>
      <c r="I89" s="321"/>
      <c r="J89" s="279"/>
      <c r="K89" s="321"/>
      <c r="L89" s="279"/>
      <c r="M89" s="321"/>
      <c r="N89" s="279"/>
      <c r="O89" s="321"/>
      <c r="P89" s="279"/>
      <c r="Q89" s="279"/>
      <c r="R89" s="279"/>
      <c r="S89" s="279"/>
      <c r="T89" s="279"/>
      <c r="U89" s="314"/>
    </row>
    <row r="90" spans="1:21">
      <c r="A90" s="196"/>
      <c r="B90" s="197"/>
      <c r="C90" s="324"/>
      <c r="D90" s="197"/>
      <c r="E90" s="324"/>
      <c r="F90" s="197"/>
      <c r="G90" s="324"/>
      <c r="H90" s="197"/>
      <c r="I90" s="324"/>
      <c r="J90" s="197"/>
      <c r="K90" s="324"/>
      <c r="L90" s="197"/>
      <c r="M90" s="324"/>
      <c r="N90" s="197"/>
      <c r="O90" s="324"/>
      <c r="P90" s="197"/>
      <c r="Q90" s="197"/>
      <c r="R90" s="197"/>
      <c r="S90" s="197"/>
      <c r="T90" s="197"/>
      <c r="U90" s="314">
        <f t="shared" si="7"/>
        <v>0</v>
      </c>
    </row>
    <row r="91" spans="1:21" ht="16" thickBot="1">
      <c r="A91" s="198" t="s">
        <v>252</v>
      </c>
      <c r="B91" s="283">
        <f>B88+B62</f>
        <v>21.195710674741619</v>
      </c>
      <c r="C91" s="325">
        <f t="shared" ref="C91:T91" si="12">C88+C62</f>
        <v>9.1175603026934304</v>
      </c>
      <c r="D91" s="283">
        <f t="shared" si="12"/>
        <v>30.462414422084333</v>
      </c>
      <c r="E91" s="325">
        <f t="shared" si="12"/>
        <v>9.5886460813370017E-2</v>
      </c>
      <c r="F91" s="283">
        <f t="shared" si="12"/>
        <v>31.789425353502139</v>
      </c>
      <c r="G91" s="325">
        <f t="shared" si="12"/>
        <v>0</v>
      </c>
      <c r="H91" s="283">
        <f t="shared" si="12"/>
        <v>19.745068263336275</v>
      </c>
      <c r="I91" s="325">
        <f t="shared" si="12"/>
        <v>0.6019520588570616</v>
      </c>
      <c r="J91" s="283">
        <f t="shared" si="12"/>
        <v>27.87891179649386</v>
      </c>
      <c r="K91" s="325">
        <f t="shared" si="12"/>
        <v>0.29950679820099269</v>
      </c>
      <c r="L91" s="283">
        <f t="shared" si="12"/>
        <v>20.097469647376336</v>
      </c>
      <c r="M91" s="325">
        <f t="shared" si="12"/>
        <v>2.55522396520802E-2</v>
      </c>
      <c r="N91" s="283">
        <f t="shared" si="12"/>
        <v>4.4677808479233692</v>
      </c>
      <c r="O91" s="325">
        <f t="shared" si="12"/>
        <v>8.2311556780480521E-3</v>
      </c>
      <c r="P91" s="283">
        <f t="shared" si="12"/>
        <v>3.1969999999999996</v>
      </c>
      <c r="Q91" s="283">
        <f t="shared" si="12"/>
        <v>0.57399999999999984</v>
      </c>
      <c r="R91" s="283">
        <f t="shared" si="12"/>
        <v>0.90400000000000003</v>
      </c>
      <c r="S91" s="283">
        <f t="shared" si="12"/>
        <v>0.17200000000000001</v>
      </c>
      <c r="T91" s="283">
        <f t="shared" si="12"/>
        <v>16.680999999999997</v>
      </c>
      <c r="U91" s="282">
        <f t="shared" si="7"/>
        <v>177.16478100545794</v>
      </c>
    </row>
    <row r="92" spans="1:21" ht="16" thickTop="1"/>
  </sheetData>
  <phoneticPr fontId="11" type="noConversion"/>
  <pageMargins left="0.75" right="0.75" top="1" bottom="1" header="0.5" footer="0.5"/>
  <pageSetup paperSize="8" scale="46" orientation="portrait" r:id="rId1"/>
  <headerFooter alignWithMargins="0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99"/>
    <pageSetUpPr fitToPage="1"/>
  </sheetPr>
  <dimension ref="A1:L24"/>
  <sheetViews>
    <sheetView zoomScaleNormal="100" workbookViewId="0">
      <selection activeCell="N12" sqref="N12"/>
    </sheetView>
  </sheetViews>
  <sheetFormatPr defaultColWidth="8.69140625" defaultRowHeight="15.5"/>
  <cols>
    <col min="1" max="1" width="37.07421875" style="55" customWidth="1"/>
    <col min="2" max="2" width="10.84375" style="55" customWidth="1"/>
    <col min="3" max="4" width="11" style="55" customWidth="1"/>
    <col min="5" max="5" width="11.84375" style="55" customWidth="1"/>
    <col min="6" max="6" width="11.23046875" style="55" customWidth="1"/>
    <col min="7" max="7" width="11.84375" style="55" customWidth="1"/>
    <col min="8" max="8" width="11" style="55" customWidth="1"/>
    <col min="9" max="9" width="12.69140625" style="55" customWidth="1"/>
    <col min="10" max="11" width="13.07421875" style="55" customWidth="1"/>
    <col min="12" max="12" width="11.53515625" style="55" customWidth="1"/>
    <col min="13" max="16384" width="8.69140625" style="55"/>
  </cols>
  <sheetData>
    <row r="1" spans="1:12">
      <c r="A1" s="5" t="s">
        <v>225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>
      <c r="A2" s="9" t="s">
        <v>157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2" ht="16" thickBot="1">
      <c r="A3" s="200" t="s">
        <v>210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</row>
    <row r="4" spans="1:12">
      <c r="A4" s="52"/>
      <c r="B4" s="102">
        <v>1</v>
      </c>
      <c r="C4" s="102">
        <f>B4+1</f>
        <v>2</v>
      </c>
      <c r="D4" s="102">
        <f t="shared" ref="D4:J4" si="0">C4+1</f>
        <v>3</v>
      </c>
      <c r="E4" s="102">
        <f t="shared" si="0"/>
        <v>4</v>
      </c>
      <c r="F4" s="102">
        <f t="shared" si="0"/>
        <v>5</v>
      </c>
      <c r="G4" s="102">
        <f t="shared" si="0"/>
        <v>6</v>
      </c>
      <c r="H4" s="102">
        <f t="shared" si="0"/>
        <v>7</v>
      </c>
      <c r="I4" s="374">
        <f t="shared" si="0"/>
        <v>8</v>
      </c>
      <c r="J4" s="374">
        <f t="shared" si="0"/>
        <v>9</v>
      </c>
      <c r="K4" s="356">
        <f>J4+1</f>
        <v>10</v>
      </c>
      <c r="L4" s="374">
        <f>K4+1</f>
        <v>11</v>
      </c>
    </row>
    <row r="5" spans="1:12" ht="105" customHeight="1" thickBot="1">
      <c r="A5" s="43"/>
      <c r="B5" s="416" t="s">
        <v>133</v>
      </c>
      <c r="C5" s="416" t="s">
        <v>134</v>
      </c>
      <c r="D5" s="416" t="s">
        <v>253</v>
      </c>
      <c r="E5" s="416" t="s">
        <v>135</v>
      </c>
      <c r="F5" s="416" t="s">
        <v>136</v>
      </c>
      <c r="G5" s="416" t="s">
        <v>137</v>
      </c>
      <c r="H5" s="416" t="s">
        <v>138</v>
      </c>
      <c r="I5" s="512" t="s">
        <v>186</v>
      </c>
      <c r="J5" s="512" t="s">
        <v>187</v>
      </c>
      <c r="K5" s="512" t="s">
        <v>271</v>
      </c>
      <c r="L5" s="513" t="s">
        <v>158</v>
      </c>
    </row>
    <row r="6" spans="1:12">
      <c r="A6" s="398" t="s">
        <v>7</v>
      </c>
      <c r="B6" s="418" t="s">
        <v>16</v>
      </c>
      <c r="C6" s="418" t="s">
        <v>16</v>
      </c>
      <c r="D6" s="418" t="s">
        <v>16</v>
      </c>
      <c r="E6" s="418" t="s">
        <v>16</v>
      </c>
      <c r="F6" s="418" t="s">
        <v>16</v>
      </c>
      <c r="G6" s="418" t="s">
        <v>16</v>
      </c>
      <c r="H6" s="418" t="s">
        <v>16</v>
      </c>
      <c r="I6" s="418" t="s">
        <v>16</v>
      </c>
      <c r="J6" s="418" t="s">
        <v>16</v>
      </c>
      <c r="K6" s="418" t="s">
        <v>16</v>
      </c>
      <c r="L6" s="419" t="s">
        <v>16</v>
      </c>
    </row>
    <row r="7" spans="1:12">
      <c r="A7" s="26"/>
      <c r="B7" s="80"/>
      <c r="C7" s="219"/>
      <c r="D7" s="219"/>
      <c r="E7" s="219"/>
      <c r="F7" s="219"/>
      <c r="G7" s="219"/>
      <c r="H7" s="219"/>
      <c r="I7" s="219"/>
      <c r="J7" s="219"/>
      <c r="K7" s="219"/>
      <c r="L7" s="86"/>
    </row>
    <row r="8" spans="1:12">
      <c r="A8" s="2" t="s">
        <v>21</v>
      </c>
      <c r="B8" s="146">
        <v>5.0839999999999996</v>
      </c>
      <c r="C8" s="147">
        <v>1.88</v>
      </c>
      <c r="D8" s="147">
        <v>1.8959999999999999</v>
      </c>
      <c r="E8" s="147">
        <v>0.71499999999999997</v>
      </c>
      <c r="F8" s="147">
        <f>0.161-0.161</f>
        <v>0</v>
      </c>
      <c r="G8" s="147">
        <v>0.36</v>
      </c>
      <c r="H8" s="147">
        <v>3.7999999999999999E-2</v>
      </c>
      <c r="I8" s="147">
        <v>0.06</v>
      </c>
      <c r="J8" s="146">
        <v>0.02</v>
      </c>
      <c r="K8" s="147">
        <v>0.16</v>
      </c>
      <c r="L8" s="27">
        <f>SUM(B8:K8)</f>
        <v>10.212999999999999</v>
      </c>
    </row>
    <row r="9" spans="1:12">
      <c r="A9" s="2"/>
      <c r="B9" s="146"/>
      <c r="C9" s="147"/>
      <c r="D9" s="147"/>
      <c r="E9" s="147"/>
      <c r="F9" s="147"/>
      <c r="G9" s="147"/>
      <c r="H9" s="147"/>
      <c r="I9" s="147"/>
      <c r="J9" s="147"/>
      <c r="K9" s="147"/>
      <c r="L9" s="27"/>
    </row>
    <row r="10" spans="1:12">
      <c r="A10" s="2" t="s">
        <v>30</v>
      </c>
      <c r="B10" s="146">
        <v>5.6479999999999997</v>
      </c>
      <c r="C10" s="225">
        <v>2.21</v>
      </c>
      <c r="D10" s="225">
        <v>2.2360000000000002</v>
      </c>
      <c r="E10" s="225">
        <v>0.84</v>
      </c>
      <c r="F10" s="225"/>
      <c r="G10" s="225"/>
      <c r="H10" s="225">
        <v>4.4999999999999998E-2</v>
      </c>
      <c r="I10" s="225"/>
      <c r="J10" s="146">
        <v>0.02</v>
      </c>
      <c r="K10" s="147"/>
      <c r="L10" s="27">
        <f>SUM(B10:K10)</f>
        <v>10.998999999999999</v>
      </c>
    </row>
    <row r="11" spans="1:12">
      <c r="A11" s="1"/>
      <c r="B11" s="148"/>
      <c r="C11" s="149"/>
      <c r="D11" s="149"/>
      <c r="E11" s="149"/>
      <c r="F11" s="149"/>
      <c r="G11" s="149"/>
      <c r="H11" s="149"/>
      <c r="I11" s="149"/>
      <c r="J11" s="149"/>
      <c r="K11" s="149"/>
      <c r="L11" s="31"/>
    </row>
    <row r="12" spans="1:12">
      <c r="A12" s="2" t="s">
        <v>22</v>
      </c>
      <c r="B12" s="146">
        <v>3.8250000000000002</v>
      </c>
      <c r="C12" s="147">
        <v>1.4139999999999999</v>
      </c>
      <c r="D12" s="147">
        <v>1.351</v>
      </c>
      <c r="E12" s="147">
        <v>0.53700000000000003</v>
      </c>
      <c r="F12" s="147"/>
      <c r="G12" s="147"/>
      <c r="H12" s="147">
        <v>3.1E-2</v>
      </c>
      <c r="I12" s="147"/>
      <c r="J12" s="147">
        <v>0.02</v>
      </c>
      <c r="K12" s="147"/>
      <c r="L12" s="27">
        <f>SUM(B12:K12)</f>
        <v>7.177999999999999</v>
      </c>
    </row>
    <row r="13" spans="1:12">
      <c r="A13" s="2"/>
      <c r="B13" s="146"/>
      <c r="C13" s="147"/>
      <c r="D13" s="147"/>
      <c r="E13" s="147"/>
      <c r="F13" s="147"/>
      <c r="G13" s="147"/>
      <c r="H13" s="147"/>
      <c r="I13" s="147"/>
      <c r="J13" s="147"/>
      <c r="K13" s="147"/>
      <c r="L13" s="27"/>
    </row>
    <row r="14" spans="1:12">
      <c r="A14" s="2" t="s">
        <v>206</v>
      </c>
      <c r="B14" s="146">
        <f>3.154+1.2278546</f>
        <v>4.3818545999999996</v>
      </c>
      <c r="C14" s="147">
        <f>1.017+0.49800296</f>
        <v>1.5150029599999999</v>
      </c>
      <c r="D14" s="147">
        <v>1.5129999999999999</v>
      </c>
      <c r="E14" s="147">
        <f>0.386+0.18925256</f>
        <v>0.57525256000000002</v>
      </c>
      <c r="F14" s="147">
        <v>1.9E-2</v>
      </c>
      <c r="G14" s="147">
        <v>0.36</v>
      </c>
      <c r="H14" s="147">
        <f>0.02+0.00971992</f>
        <v>2.971992E-2</v>
      </c>
      <c r="I14" s="147"/>
      <c r="J14" s="146">
        <v>0.02</v>
      </c>
      <c r="K14" s="147"/>
      <c r="L14" s="27">
        <f>SUM(B14:K14)</f>
        <v>8.413830039999997</v>
      </c>
    </row>
    <row r="15" spans="1:12">
      <c r="A15" s="2"/>
      <c r="B15" s="146"/>
      <c r="C15" s="147"/>
      <c r="D15" s="147"/>
      <c r="E15" s="147"/>
      <c r="F15" s="147"/>
      <c r="G15" s="147"/>
      <c r="H15" s="147"/>
      <c r="I15" s="147"/>
      <c r="J15" s="147"/>
      <c r="K15" s="147"/>
      <c r="L15" s="27"/>
    </row>
    <row r="16" spans="1:12">
      <c r="A16" s="2" t="s">
        <v>24</v>
      </c>
      <c r="B16" s="146">
        <v>2.9180000000000001</v>
      </c>
      <c r="C16" s="147">
        <v>1.284</v>
      </c>
      <c r="D16" s="147">
        <v>1.2909999999999999</v>
      </c>
      <c r="E16" s="147">
        <v>0.48799999999999999</v>
      </c>
      <c r="F16" s="147">
        <f>0.169-0.169</f>
        <v>0</v>
      </c>
      <c r="G16" s="147"/>
      <c r="H16" s="147">
        <v>2.1999999999999999E-2</v>
      </c>
      <c r="I16" s="147"/>
      <c r="J16" s="146">
        <v>0.02</v>
      </c>
      <c r="K16" s="147"/>
      <c r="L16" s="27">
        <f>SUM(B16:K16)</f>
        <v>6.0229999999999997</v>
      </c>
    </row>
    <row r="17" spans="1:12">
      <c r="A17" s="1"/>
      <c r="B17" s="148"/>
      <c r="C17" s="149"/>
      <c r="D17" s="149"/>
      <c r="E17" s="149"/>
      <c r="F17" s="149"/>
      <c r="G17" s="149"/>
      <c r="H17" s="149"/>
      <c r="I17" s="149"/>
      <c r="J17" s="149"/>
      <c r="K17" s="149"/>
      <c r="L17" s="31"/>
    </row>
    <row r="18" spans="1:12">
      <c r="A18" s="2" t="s">
        <v>23</v>
      </c>
      <c r="B18" s="146">
        <v>1.1599999999999999</v>
      </c>
      <c r="C18" s="147">
        <v>0.45300000000000001</v>
      </c>
      <c r="D18" s="147">
        <v>0.41599999999999998</v>
      </c>
      <c r="E18" s="147">
        <v>0.17199999999999999</v>
      </c>
      <c r="F18" s="147">
        <f>0.079-0.079</f>
        <v>0</v>
      </c>
      <c r="G18" s="147"/>
      <c r="H18" s="147">
        <v>0.01</v>
      </c>
      <c r="I18" s="147"/>
      <c r="J18" s="146">
        <v>0.02</v>
      </c>
      <c r="K18" s="147"/>
      <c r="L18" s="27">
        <f>SUM(B18:K18)</f>
        <v>2.2309999999999999</v>
      </c>
    </row>
    <row r="19" spans="1:12">
      <c r="A19" s="2"/>
      <c r="B19" s="225"/>
      <c r="C19" s="225"/>
      <c r="D19" s="225"/>
      <c r="E19" s="225"/>
      <c r="F19" s="225"/>
      <c r="G19" s="225"/>
      <c r="H19" s="225"/>
      <c r="I19" s="225"/>
      <c r="J19" s="225"/>
      <c r="K19" s="225"/>
      <c r="L19" s="339"/>
    </row>
    <row r="20" spans="1:12">
      <c r="A20" s="2" t="s">
        <v>207</v>
      </c>
      <c r="B20" s="146">
        <f>4.295-1.2278546</f>
        <v>3.0671454000000002</v>
      </c>
      <c r="C20" s="147">
        <f>1.742-0.49800296</f>
        <v>1.24399704</v>
      </c>
      <c r="D20" s="147">
        <v>1.2969999999999999</v>
      </c>
      <c r="E20" s="147">
        <f>0.662-0.18925256</f>
        <v>0.47274744000000002</v>
      </c>
      <c r="F20" s="147"/>
      <c r="G20" s="147"/>
      <c r="H20" s="147">
        <f>0.034-0.00971992</f>
        <v>2.4280080000000002E-2</v>
      </c>
      <c r="I20" s="147"/>
      <c r="J20" s="146">
        <v>0.02</v>
      </c>
      <c r="K20" s="147"/>
      <c r="L20" s="27">
        <f>SUM(B20:K20)</f>
        <v>6.1251699599999991</v>
      </c>
    </row>
    <row r="21" spans="1:12" ht="16" thickBot="1">
      <c r="A21" s="2"/>
      <c r="B21" s="189"/>
      <c r="C21" s="189"/>
      <c r="D21" s="189"/>
      <c r="E21" s="189"/>
      <c r="F21" s="189"/>
      <c r="G21" s="189"/>
      <c r="H21" s="189"/>
      <c r="I21" s="189"/>
      <c r="J21" s="189"/>
      <c r="K21" s="189"/>
      <c r="L21" s="85"/>
    </row>
    <row r="22" spans="1:12" ht="16" thickBot="1">
      <c r="A22" s="32" t="s">
        <v>0</v>
      </c>
      <c r="B22" s="59">
        <f t="shared" ref="B22:L22" si="1">+B20+B8+B10+B12+B14+B16+B18</f>
        <v>26.084</v>
      </c>
      <c r="C22" s="59">
        <f t="shared" si="1"/>
        <v>10</v>
      </c>
      <c r="D22" s="59">
        <f t="shared" si="1"/>
        <v>10</v>
      </c>
      <c r="E22" s="59">
        <f t="shared" si="1"/>
        <v>3.8</v>
      </c>
      <c r="F22" s="59">
        <f t="shared" si="1"/>
        <v>1.9E-2</v>
      </c>
      <c r="G22" s="59">
        <f t="shared" si="1"/>
        <v>0.72</v>
      </c>
      <c r="H22" s="59">
        <f t="shared" si="1"/>
        <v>0.2</v>
      </c>
      <c r="I22" s="59">
        <f t="shared" si="1"/>
        <v>0.06</v>
      </c>
      <c r="J22" s="59">
        <f t="shared" si="1"/>
        <v>0.14000000000000001</v>
      </c>
      <c r="K22" s="59">
        <f t="shared" si="1"/>
        <v>0.16</v>
      </c>
      <c r="L22" s="118">
        <f t="shared" si="1"/>
        <v>51.182999999999986</v>
      </c>
    </row>
    <row r="24" spans="1:12">
      <c r="B24" s="249"/>
      <c r="C24" s="249"/>
      <c r="D24" s="249"/>
      <c r="E24" s="249"/>
      <c r="H24" s="249"/>
    </row>
  </sheetData>
  <pageMargins left="0.7" right="0.7" top="0.75" bottom="0.75" header="0.3" footer="0.3"/>
  <pageSetup paperSize="9" scale="67" orientation="landscape" r:id="rId1"/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499984740745262"/>
    <pageSetUpPr fitToPage="1"/>
  </sheetPr>
  <dimension ref="A1:B44"/>
  <sheetViews>
    <sheetView tabSelected="1" topLeftCell="A3" zoomScaleNormal="100" workbookViewId="0">
      <selection activeCell="A5" sqref="A5"/>
    </sheetView>
  </sheetViews>
  <sheetFormatPr defaultColWidth="8.84375" defaultRowHeight="15.5"/>
  <cols>
    <col min="1" max="1" width="46.23046875" style="24" customWidth="1"/>
    <col min="2" max="2" width="22.4609375" style="24" customWidth="1"/>
    <col min="3" max="3" width="12.84375" style="24" customWidth="1"/>
    <col min="4" max="16384" width="8.84375" style="24"/>
  </cols>
  <sheetData>
    <row r="1" spans="1:2" hidden="1"/>
    <row r="2" spans="1:2" hidden="1"/>
    <row r="3" spans="1:2">
      <c r="A3" s="6" t="s">
        <v>254</v>
      </c>
      <c r="B3" s="514"/>
    </row>
    <row r="4" spans="1:2" ht="16" thickBot="1">
      <c r="A4" s="6"/>
      <c r="B4" s="514"/>
    </row>
    <row r="5" spans="1:2" s="422" customFormat="1">
      <c r="A5" s="38"/>
      <c r="B5" s="7">
        <v>1</v>
      </c>
    </row>
    <row r="6" spans="1:2" s="515" customFormat="1" ht="106.5" customHeight="1" thickBot="1">
      <c r="A6" s="125"/>
      <c r="B6" s="516" t="s">
        <v>255</v>
      </c>
    </row>
    <row r="7" spans="1:2">
      <c r="A7" s="45"/>
      <c r="B7" s="420" t="s">
        <v>16</v>
      </c>
    </row>
    <row r="8" spans="1:2">
      <c r="A8" s="264" t="s">
        <v>151</v>
      </c>
      <c r="B8" s="517"/>
    </row>
    <row r="9" spans="1:2">
      <c r="A9" s="109"/>
      <c r="B9" s="518"/>
    </row>
    <row r="10" spans="1:2" ht="18.75" customHeight="1">
      <c r="A10" s="2" t="s">
        <v>21</v>
      </c>
      <c r="B10" s="519">
        <v>10.814</v>
      </c>
    </row>
    <row r="11" spans="1:2">
      <c r="A11" s="2"/>
      <c r="B11" s="519"/>
    </row>
    <row r="12" spans="1:2" ht="17.25" customHeight="1">
      <c r="A12" s="2" t="s">
        <v>30</v>
      </c>
      <c r="B12" s="519">
        <v>14.420999999999999</v>
      </c>
    </row>
    <row r="13" spans="1:2">
      <c r="A13" s="1"/>
      <c r="B13" s="520"/>
    </row>
    <row r="14" spans="1:2" ht="18.75" customHeight="1">
      <c r="A14" s="2" t="s">
        <v>22</v>
      </c>
      <c r="B14" s="519">
        <v>14.871</v>
      </c>
    </row>
    <row r="15" spans="1:2">
      <c r="A15" s="2"/>
      <c r="B15" s="519"/>
    </row>
    <row r="16" spans="1:2" s="28" customFormat="1" ht="17.25" customHeight="1">
      <c r="A16" s="2" t="s">
        <v>206</v>
      </c>
      <c r="B16" s="519">
        <v>10.23</v>
      </c>
    </row>
    <row r="17" spans="1:2" s="28" customFormat="1">
      <c r="A17" s="2"/>
      <c r="B17" s="519"/>
    </row>
    <row r="18" spans="1:2" ht="17.25" customHeight="1">
      <c r="A18" s="2" t="s">
        <v>24</v>
      </c>
      <c r="B18" s="519">
        <v>7.4210000000000003</v>
      </c>
    </row>
    <row r="19" spans="1:2">
      <c r="A19" s="1"/>
      <c r="B19" s="520"/>
    </row>
    <row r="20" spans="1:2" s="28" customFormat="1" ht="18.75" customHeight="1">
      <c r="A20" s="2" t="s">
        <v>23</v>
      </c>
      <c r="B20" s="519">
        <v>1.431</v>
      </c>
    </row>
    <row r="21" spans="1:2" s="28" customFormat="1" ht="18.75" customHeight="1">
      <c r="A21" s="2"/>
      <c r="B21" s="519"/>
    </row>
    <row r="22" spans="1:2" ht="18.75" customHeight="1">
      <c r="A22" s="2" t="s">
        <v>207</v>
      </c>
      <c r="B22" s="519">
        <v>11.167999999999999</v>
      </c>
    </row>
    <row r="23" spans="1:2" s="28" customFormat="1" ht="18.75" customHeight="1">
      <c r="A23" s="2"/>
      <c r="B23" s="519"/>
    </row>
    <row r="24" spans="1:2" s="28" customFormat="1" ht="18.75" customHeight="1">
      <c r="A24" s="2" t="s">
        <v>224</v>
      </c>
      <c r="B24" s="519">
        <v>0.1</v>
      </c>
    </row>
    <row r="25" spans="1:2" s="28" customFormat="1" ht="18.75" customHeight="1">
      <c r="A25" s="2"/>
      <c r="B25" s="519"/>
    </row>
    <row r="26" spans="1:2" s="28" customFormat="1" ht="18.75" customHeight="1">
      <c r="A26" s="2" t="s">
        <v>307</v>
      </c>
      <c r="B26" s="519">
        <v>2.9689999999999999</v>
      </c>
    </row>
    <row r="27" spans="1:2" s="28" customFormat="1" ht="18.75" customHeight="1">
      <c r="A27" s="2"/>
      <c r="B27" s="519"/>
    </row>
    <row r="28" spans="1:2" s="28" customFormat="1" ht="18.75" customHeight="1">
      <c r="A28" s="2" t="s">
        <v>150</v>
      </c>
      <c r="B28" s="519">
        <f>SUM(B10:B26)</f>
        <v>73.424999999999983</v>
      </c>
    </row>
    <row r="29" spans="1:2" s="28" customFormat="1" ht="18.75" customHeight="1">
      <c r="A29" s="2"/>
      <c r="B29" s="519"/>
    </row>
    <row r="30" spans="1:2" s="28" customFormat="1" ht="18.75" customHeight="1">
      <c r="A30" s="265" t="s">
        <v>152</v>
      </c>
      <c r="B30" s="519"/>
    </row>
    <row r="31" spans="1:2" s="28" customFormat="1" ht="18.75" customHeight="1">
      <c r="A31" s="2"/>
      <c r="B31" s="519"/>
    </row>
    <row r="32" spans="1:2" s="28" customFormat="1" ht="18.75" customHeight="1">
      <c r="A32" s="2" t="s">
        <v>77</v>
      </c>
      <c r="B32" s="519">
        <v>1.911</v>
      </c>
    </row>
    <row r="33" spans="1:2" s="28" customFormat="1" ht="18.75" customHeight="1">
      <c r="A33" s="2"/>
      <c r="B33" s="519"/>
    </row>
    <row r="34" spans="1:2" s="28" customFormat="1" ht="18.75" customHeight="1">
      <c r="A34" s="2" t="s">
        <v>153</v>
      </c>
      <c r="B34" s="519">
        <v>0.85</v>
      </c>
    </row>
    <row r="35" spans="1:2" s="28" customFormat="1" ht="18.75" customHeight="1">
      <c r="A35" s="2"/>
      <c r="B35" s="519"/>
    </row>
    <row r="36" spans="1:2" s="28" customFormat="1" ht="18.75" customHeight="1">
      <c r="A36" s="2" t="s">
        <v>154</v>
      </c>
      <c r="B36" s="519">
        <v>1.58</v>
      </c>
    </row>
    <row r="37" spans="1:2" s="28" customFormat="1" ht="18.75" customHeight="1">
      <c r="A37" s="2"/>
      <c r="B37" s="519"/>
    </row>
    <row r="38" spans="1:2" s="28" customFormat="1" ht="18.75" customHeight="1">
      <c r="A38" s="2" t="s">
        <v>155</v>
      </c>
      <c r="B38" s="519">
        <v>5.8250000000000002</v>
      </c>
    </row>
    <row r="39" spans="1:2" s="28" customFormat="1" ht="18.75" customHeight="1">
      <c r="A39" s="2"/>
      <c r="B39" s="519"/>
    </row>
    <row r="40" spans="1:2" s="28" customFormat="1" ht="18.75" customHeight="1">
      <c r="A40" s="2" t="s">
        <v>156</v>
      </c>
      <c r="B40" s="519">
        <f>SUM(B32:B38)</f>
        <v>10.166</v>
      </c>
    </row>
    <row r="41" spans="1:2" s="28" customFormat="1" ht="18.75" customHeight="1" thickBot="1">
      <c r="A41" s="2"/>
      <c r="B41" s="519"/>
    </row>
    <row r="42" spans="1:2" s="28" customFormat="1" ht="16" thickBot="1">
      <c r="A42" s="32" t="s">
        <v>0</v>
      </c>
      <c r="B42" s="521">
        <f>B28+B40</f>
        <v>83.59099999999998</v>
      </c>
    </row>
    <row r="44" spans="1:2">
      <c r="B44" s="284"/>
    </row>
  </sheetData>
  <printOptions horizontalCentered="1"/>
  <pageMargins left="0.78740157480314965" right="0.74803149606299213" top="0.98425196850393704" bottom="0.98425196850393704" header="0.51181102362204722" footer="0.51181102362204722"/>
  <pageSetup paperSize="9" scale="51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metadata xmlns="http://www.objective.com/ecm/document/metadata/FF3C5B18883D4E21973B57C2EEED7FD1" version="1.0.0">
  <systemFields>
    <field name="Objective-Id">
      <value order="0">A32746616</value>
    </field>
    <field name="Objective-Title">
      <value order="0">2021-22 Health Board  Allocation  -  Tables FINAL To ISSUE</value>
    </field>
    <field name="Objective-Description">
      <value order="0"/>
    </field>
    <field name="Objective-CreationStamp">
      <value order="0">2020-12-21T13:00:13Z</value>
    </field>
    <field name="Objective-IsApproved">
      <value order="0">false</value>
    </field>
    <field name="Objective-IsPublished">
      <value order="0">true</value>
    </field>
    <field name="Objective-DatePublished">
      <value order="0">2021-01-04T14:09:59Z</value>
    </field>
    <field name="Objective-ModificationStamp">
      <value order="0">2021-01-04T14:09:59Z</value>
    </field>
    <field name="Objective-Owner">
      <value order="0">Broughton, Julie (HSS - Finance)</value>
    </field>
    <field name="Objective-Path">
      <value order="0">Objective Global Folder:Business File Plan:Health &amp; Social Services (HSS):Health &amp; Social Services (HSS) - FD - Finance:1 - Save:Management Accounts Team:Budget Monitoring:Budget Holder Information:2021/2022:HSS Finance - Health Board Revenue Allocation - Reconciliations - 2021-2022:HB Allocation MA/VG/4443/20</value>
    </field>
    <field name="Objective-Parent">
      <value order="0">HB Allocation MA/VG/4443/20</value>
    </field>
    <field name="Objective-State">
      <value order="0">Published</value>
    </field>
    <field name="Objective-VersionId">
      <value order="0">vA65070556</value>
    </field>
    <field name="Objective-Version">
      <value order="0">3.0</value>
    </field>
    <field name="Objective-VersionNumber">
      <value order="0">4</value>
    </field>
    <field name="Objective-VersionComment">
      <value order="0">No accessibility issues</value>
    </field>
    <field name="Objective-FileNumber">
      <value order="0">qA1448745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Language">
        <value order="0">English (eng)</value>
      </field>
      <field name="Objective-Date Acquired">
        <value order="0">2020-12-21T00:00:00Z</value>
      </field>
      <field name="Objective-What to Keep">
        <value order="0">No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9205D88DC4F44CB1CA8437F92B0221" ma:contentTypeVersion="10" ma:contentTypeDescription="Create a new document." ma:contentTypeScope="" ma:versionID="c1ea83cae397c53d49dd5a64203749e0">
  <xsd:schema xmlns:xsd="http://www.w3.org/2001/XMLSchema" xmlns:xs="http://www.w3.org/2001/XMLSchema" xmlns:p="http://schemas.microsoft.com/office/2006/metadata/properties" xmlns:ns3="ef277e87-290d-49c5-91d0-3912be04ccbd" targetNamespace="http://schemas.microsoft.com/office/2006/metadata/properties" ma:root="true" ma:fieldsID="e416df3b8501d7fe7e4b3723517d383e" ns3:_="">
    <xsd:import namespace="ef277e87-290d-49c5-91d0-3912be04ccb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277e87-290d-49c5-91d0-3912be04cc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EE890A-B798-4022-804D-A2F32B08E39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3.xml><?xml version="1.0" encoding="utf-8"?>
<ds:datastoreItem xmlns:ds="http://schemas.openxmlformats.org/officeDocument/2006/customXml" ds:itemID="{7A5F5A45-D163-494B-A472-4C02CF3331C6}">
  <ds:schemaRefs>
    <ds:schemaRef ds:uri="http://schemas.microsoft.com/office/2006/documentManagement/types"/>
    <ds:schemaRef ds:uri="http://schemas.microsoft.com/office/infopath/2007/PartnerControls"/>
    <ds:schemaRef ds:uri="ef277e87-290d-49c5-91d0-3912be04ccbd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2358D6A1-D972-49DE-8EF9-D8A215D9D9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277e87-290d-49c5-91d0-3912be04ccb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15</vt:i4>
      </vt:variant>
    </vt:vector>
  </HeadingPairs>
  <TitlesOfParts>
    <vt:vector size="31" baseType="lpstr">
      <vt:lpstr>Contents</vt:lpstr>
      <vt:lpstr>Summary Revenue</vt:lpstr>
      <vt:lpstr>A1</vt:lpstr>
      <vt:lpstr>A2</vt:lpstr>
      <vt:lpstr>A3</vt:lpstr>
      <vt:lpstr>B1</vt:lpstr>
      <vt:lpstr>B2</vt:lpstr>
      <vt:lpstr>C</vt:lpstr>
      <vt:lpstr>E</vt:lpstr>
      <vt:lpstr>F</vt:lpstr>
      <vt:lpstr>Table 1</vt:lpstr>
      <vt:lpstr>Table 2</vt:lpstr>
      <vt:lpstr>Table 3</vt:lpstr>
      <vt:lpstr>Table 4</vt:lpstr>
      <vt:lpstr>Table 5</vt:lpstr>
      <vt:lpstr>Summary Capital</vt:lpstr>
      <vt:lpstr>'A1'!Print_Area</vt:lpstr>
      <vt:lpstr>'A2'!Print_Area</vt:lpstr>
      <vt:lpstr>'A3'!Print_Area</vt:lpstr>
      <vt:lpstr>'B1'!Print_Area</vt:lpstr>
      <vt:lpstr>'B2'!Print_Area</vt:lpstr>
      <vt:lpstr>'C'!Print_Area</vt:lpstr>
      <vt:lpstr>E!Print_Area</vt:lpstr>
      <vt:lpstr>F!Print_Area</vt:lpstr>
      <vt:lpstr>'Summary Capital'!Print_Area</vt:lpstr>
      <vt:lpstr>'Summary Revenue'!Print_Area</vt:lpstr>
      <vt:lpstr>'Table 1'!Print_Area</vt:lpstr>
      <vt:lpstr>'Table 2'!Print_Area</vt:lpstr>
      <vt:lpstr>'Table 3'!Print_Area</vt:lpstr>
      <vt:lpstr>'Table 4'!Print_Area</vt:lpstr>
      <vt:lpstr>'Table 5'!Print_Area</vt:lpstr>
    </vt:vector>
  </TitlesOfParts>
  <Company>National Assembly for Wales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Zara Morris</dc:creator>
  <cp:lastModifiedBy>Cahalane, Claudia (HSS - Communications)</cp:lastModifiedBy>
  <cp:lastPrinted>2020-01-03T09:41:14Z</cp:lastPrinted>
  <dcterms:created xsi:type="dcterms:W3CDTF">2002-12-04T11:47:40Z</dcterms:created>
  <dcterms:modified xsi:type="dcterms:W3CDTF">2021-01-05T16:48:35Z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A32746616</vt:lpwstr>
  </property>
  <property fmtid="{D5CDD505-2E9C-101B-9397-08002B2CF9AE}" pid="3" name="Objective-Title">
    <vt:lpwstr>2021-22 Health Board  Allocation  -  Tables FINAL To ISSUE</vt:lpwstr>
  </property>
  <property fmtid="{D5CDD505-2E9C-101B-9397-08002B2CF9AE}" pid="4" name="Objective-Comment">
    <vt:lpwstr/>
  </property>
  <property fmtid="{D5CDD505-2E9C-101B-9397-08002B2CF9AE}" pid="5" name="Objective-CreationStamp">
    <vt:filetime>2020-12-21T13:00:28Z</vt:filetime>
  </property>
  <property fmtid="{D5CDD505-2E9C-101B-9397-08002B2CF9AE}" pid="6" name="Objective-IsApproved">
    <vt:bool>false</vt:bool>
  </property>
  <property fmtid="{D5CDD505-2E9C-101B-9397-08002B2CF9AE}" pid="7" name="Objective-IsPublished">
    <vt:bool>true</vt:bool>
  </property>
  <property fmtid="{D5CDD505-2E9C-101B-9397-08002B2CF9AE}" pid="8" name="Objective-DatePublished">
    <vt:filetime>2021-01-04T14:09:59Z</vt:filetime>
  </property>
  <property fmtid="{D5CDD505-2E9C-101B-9397-08002B2CF9AE}" pid="9" name="Objective-ModificationStamp">
    <vt:filetime>2021-01-04T14:09:59Z</vt:filetime>
  </property>
  <property fmtid="{D5CDD505-2E9C-101B-9397-08002B2CF9AE}" pid="10" name="Objective-Owner">
    <vt:lpwstr>Broughton, Julie (HSS - Finance)</vt:lpwstr>
  </property>
  <property fmtid="{D5CDD505-2E9C-101B-9397-08002B2CF9AE}" pid="11" name="Objective-Path">
    <vt:lpwstr>Objective Global Folder:Business File Plan:Health &amp; Social Services (HSS):Health &amp; Social Services (HSS) - FD - Finance:1 - Save:Management Accounts Team:Budget Monitoring:Budget Holder Information:2021/2022:HSS Finance - Health Board Revenue Allocation -</vt:lpwstr>
  </property>
  <property fmtid="{D5CDD505-2E9C-101B-9397-08002B2CF9AE}" pid="12" name="Objective-Parent">
    <vt:lpwstr>HB Allocation MA/VG/4443/20</vt:lpwstr>
  </property>
  <property fmtid="{D5CDD505-2E9C-101B-9397-08002B2CF9AE}" pid="13" name="Objective-State">
    <vt:lpwstr>Published</vt:lpwstr>
  </property>
  <property fmtid="{D5CDD505-2E9C-101B-9397-08002B2CF9AE}" pid="14" name="Objective-Version">
    <vt:lpwstr>3.0</vt:lpwstr>
  </property>
  <property fmtid="{D5CDD505-2E9C-101B-9397-08002B2CF9AE}" pid="15" name="Objective-VersionNumber">
    <vt:r8>4</vt:r8>
  </property>
  <property fmtid="{D5CDD505-2E9C-101B-9397-08002B2CF9AE}" pid="16" name="Objective-VersionComment">
    <vt:lpwstr>No accessibility issues</vt:lpwstr>
  </property>
  <property fmtid="{D5CDD505-2E9C-101B-9397-08002B2CF9AE}" pid="17" name="Objective-FileNumber">
    <vt:lpwstr>qA1448745</vt:lpwstr>
  </property>
  <property fmtid="{D5CDD505-2E9C-101B-9397-08002B2CF9AE}" pid="18" name="Objective-Classification">
    <vt:lpwstr>[Inherited - Official]</vt:lpwstr>
  </property>
  <property fmtid="{D5CDD505-2E9C-101B-9397-08002B2CF9AE}" pid="19" name="Objective-Caveats">
    <vt:lpwstr/>
  </property>
  <property fmtid="{D5CDD505-2E9C-101B-9397-08002B2CF9AE}" pid="20" name="Objective-Language [system]">
    <vt:lpwstr>English (eng)</vt:lpwstr>
  </property>
  <property fmtid="{D5CDD505-2E9C-101B-9397-08002B2CF9AE}" pid="21" name="Objective-Date Acquired [system]">
    <vt:filetime>2019-01-02T23:00:00Z</vt:filetime>
  </property>
  <property fmtid="{D5CDD505-2E9C-101B-9397-08002B2CF9AE}" pid="22" name="Objective-What to Keep [system]">
    <vt:lpwstr>No</vt:lpwstr>
  </property>
  <property fmtid="{D5CDD505-2E9C-101B-9397-08002B2CF9AE}" pid="23" name="Objective-Official Translation [system]">
    <vt:lpwstr/>
  </property>
  <property fmtid="{D5CDD505-2E9C-101B-9397-08002B2CF9AE}" pid="24" name="Objective-Connect Creator [system]">
    <vt:lpwstr/>
  </property>
  <property fmtid="{D5CDD505-2E9C-101B-9397-08002B2CF9AE}" pid="25" name="Objective-Language">
    <vt:lpwstr>English (eng)</vt:lpwstr>
  </property>
  <property fmtid="{D5CDD505-2E9C-101B-9397-08002B2CF9AE}" pid="26" name="Objective-Date Acquired">
    <vt:filetime>2020-12-21T00:00:00Z</vt:filetime>
  </property>
  <property fmtid="{D5CDD505-2E9C-101B-9397-08002B2CF9AE}" pid="27" name="Objective-What to Keep">
    <vt:lpwstr>No</vt:lpwstr>
  </property>
  <property fmtid="{D5CDD505-2E9C-101B-9397-08002B2CF9AE}" pid="28" name="Objective-Official Translation">
    <vt:lpwstr/>
  </property>
  <property fmtid="{D5CDD505-2E9C-101B-9397-08002B2CF9AE}" pid="29" name="Objective-Connect Creator">
    <vt:lpwstr/>
  </property>
  <property fmtid="{D5CDD505-2E9C-101B-9397-08002B2CF9AE}" pid="30" name="Objective-Description">
    <vt:lpwstr/>
  </property>
  <property fmtid="{D5CDD505-2E9C-101B-9397-08002B2CF9AE}" pid="31" name="Objective-VersionId">
    <vt:lpwstr>vA65070556</vt:lpwstr>
  </property>
  <property fmtid="{D5CDD505-2E9C-101B-9397-08002B2CF9AE}" pid="32" name="ContentTypeId">
    <vt:lpwstr>0x010100739205D88DC4F44CB1CA8437F92B0221</vt:lpwstr>
  </property>
</Properties>
</file>